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E:\"/>
    </mc:Choice>
  </mc:AlternateContent>
  <bookViews>
    <workbookView xWindow="-105" yWindow="-105" windowWidth="23250" windowHeight="12450" tabRatio="926"/>
  </bookViews>
  <sheets>
    <sheet name="Grundlagen" sheetId="2" r:id="rId1"/>
    <sheet name="Prozentrechnung" sheetId="3" r:id="rId2"/>
    <sheet name="Teilnahmeliste" sheetId="4" r:id="rId3"/>
    <sheet name="Projektkalkulation" sheetId="5" r:id="rId4"/>
    <sheet name="HonKalk" sheetId="6" r:id="rId5"/>
    <sheet name="PK1" sheetId="7" r:id="rId6"/>
    <sheet name="PK2" sheetId="8" r:id="rId7"/>
    <sheet name="Budgetcontrolling" sheetId="16" r:id="rId8"/>
    <sheet name="Belegliste Budgetcontrolling2" sheetId="10" r:id="rId9"/>
  </sheets>
  <externalReferences>
    <externalReference r:id="rId10"/>
    <externalReference r:id="rId11"/>
    <externalReference r:id="rId12"/>
    <externalReference r:id="rId13"/>
    <externalReference r:id="rId14"/>
    <externalReference r:id="rId15"/>
  </externalReferences>
  <definedNames>
    <definedName name="_xlnm._FilterDatabase" localSheetId="2" hidden="1">Teilnahmeliste!$A$1:$I$14</definedName>
    <definedName name="Angestellte">'[1]mit Namen rechnen'!$B$142:$D$142</definedName>
    <definedName name="Annuität">#REF!</definedName>
    <definedName name="Beginn">#REF!</definedName>
    <definedName name="Darlehen">#REF!</definedName>
    <definedName name="_xlnm.Database">[2]!Tabelle1[[#Headers],[#Data]]</definedName>
    <definedName name="Februar">[3]Index!$B$64:$B$66</definedName>
    <definedName name="Jänner">[3]Index!$A$64:$A$66</definedName>
    <definedName name="MAI">'[4]mit Namen rechnen'!$B$5:$B$34</definedName>
    <definedName name="März">[3]Index!$C$64:$C$66</definedName>
    <definedName name="Mehrwertsteuer">16%</definedName>
    <definedName name="MmExcelLinker_B28F9207_EE32_4AAF_8E2B_A5DF58CAE7E7">#REF!</definedName>
    <definedName name="Monate">'[5]Index und Vergleiche'!$H$1:$H$12</definedName>
    <definedName name="MwSt_reduziert">7%</definedName>
    <definedName name="NETTOFORMEL">1/SUMMEGesamt*100</definedName>
    <definedName name="ProvTab">#REF!</definedName>
    <definedName name="Rubrik">OFFSET(#REF!,,,COUNTA(#REF!)-1,1)</definedName>
    <definedName name="Summe10Prozent">#REF!</definedName>
    <definedName name="SUMMEGesamt">'[6]mit Namen rechnen'!$A$115</definedName>
    <definedName name="Umsatzreihe">OFFSET(#REF!,,,COUNTA(#REF!)-1,1)</definedName>
    <definedName name="Werk_1">'[1]mit Namen rechnen'!$B$142:$B$144</definedName>
    <definedName name="Zinse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B19" i="5" l="1"/>
  <c r="D6" i="6"/>
  <c r="B7" i="5"/>
  <c r="B9" i="5"/>
  <c r="B8" i="5"/>
  <c r="L29" i="7"/>
  <c r="D15" i="7"/>
  <c r="C15" i="7"/>
  <c r="L3" i="4"/>
  <c r="L4" i="4"/>
  <c r="L5" i="4"/>
  <c r="L6" i="4"/>
  <c r="L2" i="4"/>
  <c r="H15" i="4"/>
  <c r="I15" i="4"/>
  <c r="D28" i="16"/>
  <c r="D29" i="16"/>
  <c r="D27" i="16"/>
  <c r="F3" i="16" l="1"/>
  <c r="C16" i="2"/>
  <c r="C12" i="2"/>
  <c r="C13" i="2"/>
  <c r="C14" i="2"/>
  <c r="C15" i="2"/>
  <c r="C11" i="2"/>
  <c r="C20" i="16"/>
  <c r="C30" i="16"/>
  <c r="C28" i="16"/>
  <c r="C29" i="16"/>
  <c r="C27" i="16"/>
  <c r="C15" i="16"/>
  <c r="C14" i="16"/>
  <c r="C13" i="16"/>
  <c r="C12" i="16"/>
  <c r="C11" i="16"/>
  <c r="C10" i="16"/>
  <c r="C9" i="16"/>
  <c r="C8" i="16"/>
  <c r="C7" i="16"/>
  <c r="C5" i="16"/>
  <c r="C4" i="16"/>
  <c r="B16" i="16"/>
  <c r="B15" i="16"/>
  <c r="C6" i="16" l="1"/>
  <c r="C3" i="16"/>
  <c r="E3" i="16" l="1"/>
  <c r="D3" i="16"/>
  <c r="C16" i="16"/>
  <c r="E4" i="16" l="1"/>
  <c r="F4" i="16" s="1"/>
  <c r="E5" i="16"/>
  <c r="F5" i="16" s="1"/>
  <c r="E7" i="16"/>
  <c r="F7" i="16" s="1"/>
  <c r="E8" i="16"/>
  <c r="F8" i="16" s="1"/>
  <c r="E9" i="16"/>
  <c r="F9" i="16" s="1"/>
  <c r="E10" i="16"/>
  <c r="F10" i="16" s="1"/>
  <c r="E11" i="16"/>
  <c r="F11" i="16" s="1"/>
  <c r="E12" i="16"/>
  <c r="F12" i="16" s="1"/>
  <c r="E13" i="16"/>
  <c r="F13" i="16" s="1"/>
  <c r="E14" i="16"/>
  <c r="F14" i="16" s="1"/>
  <c r="E15" i="16"/>
  <c r="F15" i="16" s="1"/>
  <c r="E16" i="16"/>
  <c r="F16" i="16" s="1"/>
  <c r="D5" i="16"/>
  <c r="D7" i="16"/>
  <c r="D8" i="16"/>
  <c r="D9" i="16"/>
  <c r="D10" i="16"/>
  <c r="D11" i="16"/>
  <c r="D12" i="16"/>
  <c r="D13" i="16"/>
  <c r="D14" i="16"/>
  <c r="D15" i="16"/>
  <c r="D16" i="16"/>
  <c r="D4" i="16"/>
  <c r="B23" i="16"/>
  <c r="B6" i="16"/>
  <c r="D6" i="16" s="1"/>
  <c r="B3" i="16"/>
  <c r="K44" i="4"/>
  <c r="J44" i="4"/>
  <c r="I45" i="4"/>
  <c r="H45" i="4"/>
  <c r="G45" i="4"/>
  <c r="F45" i="4"/>
  <c r="E45" i="4"/>
  <c r="D45" i="4"/>
  <c r="C45" i="4"/>
  <c r="B45" i="4"/>
  <c r="A45" i="4"/>
  <c r="C5" i="3"/>
  <c r="C4" i="3"/>
  <c r="C3" i="3"/>
  <c r="C2" i="3"/>
  <c r="C21" i="16" l="1"/>
  <c r="C22" i="16"/>
  <c r="D30" i="16"/>
  <c r="B30" i="16"/>
  <c r="E6" i="16"/>
  <c r="F6" i="16" s="1"/>
  <c r="D22" i="16" l="1"/>
  <c r="E22" i="16"/>
  <c r="E21" i="16"/>
  <c r="D21" i="16"/>
  <c r="D20" i="16"/>
  <c r="E20" i="16"/>
  <c r="C23" i="16"/>
  <c r="E23" i="16" l="1"/>
  <c r="D23" i="16"/>
  <c r="B26" i="8" l="1"/>
  <c r="C26" i="8" s="1"/>
  <c r="H26" i="8" s="1"/>
  <c r="B25" i="8"/>
  <c r="C25" i="8" s="1"/>
  <c r="C24" i="8"/>
  <c r="H24" i="8" s="1"/>
  <c r="B24" i="8"/>
  <c r="B23" i="8"/>
  <c r="C23" i="8" s="1"/>
  <c r="H23" i="8" s="1"/>
  <c r="B22" i="8"/>
  <c r="B21" i="8"/>
  <c r="C21" i="8" s="1"/>
  <c r="B20" i="8"/>
  <c r="C20" i="8" s="1"/>
  <c r="K20" i="8" s="1"/>
  <c r="B19" i="8"/>
  <c r="C19" i="8" s="1"/>
  <c r="F19" i="8" s="1"/>
  <c r="B18" i="8"/>
  <c r="C18" i="8" s="1"/>
  <c r="H18" i="8" s="1"/>
  <c r="C17" i="8"/>
  <c r="H17" i="8" s="1"/>
  <c r="B17" i="8"/>
  <c r="B16" i="8"/>
  <c r="C16" i="8" s="1"/>
  <c r="B15" i="8"/>
  <c r="C15" i="8" s="1"/>
  <c r="L14" i="8"/>
  <c r="I9" i="8"/>
  <c r="B27" i="7"/>
  <c r="C27" i="7" s="1"/>
  <c r="G27" i="7" s="1"/>
  <c r="C26" i="7"/>
  <c r="D26" i="7" s="1"/>
  <c r="J25" i="7"/>
  <c r="I25" i="7"/>
  <c r="F25" i="7"/>
  <c r="C25" i="7"/>
  <c r="G25" i="7" s="1"/>
  <c r="C24" i="7"/>
  <c r="D24" i="7" s="1"/>
  <c r="I23" i="7"/>
  <c r="C23" i="7"/>
  <c r="G23" i="7" s="1"/>
  <c r="H22" i="7"/>
  <c r="C22" i="7"/>
  <c r="J22" i="7" s="1"/>
  <c r="J21" i="7"/>
  <c r="C21" i="7"/>
  <c r="G21" i="7" s="1"/>
  <c r="J20" i="7"/>
  <c r="D20" i="7"/>
  <c r="C20" i="7"/>
  <c r="H20" i="7" s="1"/>
  <c r="C19" i="7"/>
  <c r="G19" i="7" s="1"/>
  <c r="H18" i="7"/>
  <c r="C18" i="7"/>
  <c r="F18" i="7" s="1"/>
  <c r="H17" i="7"/>
  <c r="F17" i="7"/>
  <c r="E17" i="7"/>
  <c r="D17" i="7"/>
  <c r="C17" i="7"/>
  <c r="G17" i="7" s="1"/>
  <c r="F16" i="7"/>
  <c r="C16" i="7"/>
  <c r="H16" i="7" s="1"/>
  <c r="J15" i="7"/>
  <c r="I15" i="7"/>
  <c r="H15" i="7"/>
  <c r="F15" i="7"/>
  <c r="E15" i="7"/>
  <c r="G15" i="7"/>
  <c r="K14" i="7"/>
  <c r="I9" i="7"/>
  <c r="I21" i="8" l="1"/>
  <c r="J21" i="8"/>
  <c r="E21" i="8"/>
  <c r="H25" i="8"/>
  <c r="F25" i="8"/>
  <c r="G18" i="8"/>
  <c r="D19" i="7"/>
  <c r="K19" i="7" s="1"/>
  <c r="L19" i="7" s="1"/>
  <c r="E19" i="7"/>
  <c r="K18" i="8"/>
  <c r="J17" i="7"/>
  <c r="H19" i="7"/>
  <c r="E21" i="7"/>
  <c r="D23" i="7"/>
  <c r="J24" i="7"/>
  <c r="I17" i="7"/>
  <c r="K17" i="7" s="1"/>
  <c r="L17" i="7" s="1"/>
  <c r="F19" i="7"/>
  <c r="D21" i="7"/>
  <c r="I19" i="7"/>
  <c r="F21" i="7"/>
  <c r="E23" i="7"/>
  <c r="K23" i="7" s="1"/>
  <c r="L23" i="7" s="1"/>
  <c r="D18" i="7"/>
  <c r="J19" i="7"/>
  <c r="H21" i="7"/>
  <c r="F23" i="7"/>
  <c r="D25" i="7"/>
  <c r="F17" i="8"/>
  <c r="E20" i="8"/>
  <c r="F26" i="8"/>
  <c r="I21" i="7"/>
  <c r="H23" i="7"/>
  <c r="E25" i="7"/>
  <c r="K25" i="7" s="1"/>
  <c r="L25" i="7" s="1"/>
  <c r="G26" i="8"/>
  <c r="K26" i="8"/>
  <c r="J23" i="7"/>
  <c r="H25" i="7"/>
  <c r="F18" i="8"/>
  <c r="I15" i="8"/>
  <c r="E15" i="8"/>
  <c r="G15" i="8"/>
  <c r="K15" i="8"/>
  <c r="F15" i="8"/>
  <c r="J15" i="8"/>
  <c r="H15" i="8"/>
  <c r="J16" i="8"/>
  <c r="F16" i="8"/>
  <c r="G16" i="8"/>
  <c r="K16" i="8"/>
  <c r="E16" i="8"/>
  <c r="I16" i="8"/>
  <c r="H16" i="8"/>
  <c r="I24" i="7"/>
  <c r="E24" i="7"/>
  <c r="G24" i="7"/>
  <c r="F24" i="7"/>
  <c r="F27" i="7"/>
  <c r="E27" i="7"/>
  <c r="D27" i="7"/>
  <c r="J20" i="8"/>
  <c r="F20" i="8"/>
  <c r="I20" i="8"/>
  <c r="H20" i="8"/>
  <c r="K15" i="7"/>
  <c r="L15" i="7" s="1"/>
  <c r="I26" i="7"/>
  <c r="E26" i="7"/>
  <c r="G26" i="7"/>
  <c r="F26" i="7"/>
  <c r="I19" i="8"/>
  <c r="E19" i="8"/>
  <c r="J19" i="8"/>
  <c r="H19" i="8"/>
  <c r="I23" i="8"/>
  <c r="E23" i="8"/>
  <c r="G23" i="8"/>
  <c r="K23" i="8"/>
  <c r="F23" i="8"/>
  <c r="J24" i="8"/>
  <c r="F24" i="8"/>
  <c r="G24" i="8"/>
  <c r="K24" i="8"/>
  <c r="E24" i="8"/>
  <c r="I16" i="7"/>
  <c r="E16" i="7"/>
  <c r="C28" i="7"/>
  <c r="G16" i="7"/>
  <c r="J16" i="7"/>
  <c r="I22" i="7"/>
  <c r="E22" i="7"/>
  <c r="G22" i="7"/>
  <c r="F22" i="7"/>
  <c r="H26" i="7"/>
  <c r="G19" i="8"/>
  <c r="J23" i="8"/>
  <c r="I24" i="8"/>
  <c r="D16" i="7"/>
  <c r="I18" i="7"/>
  <c r="E18" i="7"/>
  <c r="G18" i="7"/>
  <c r="J18" i="7"/>
  <c r="I20" i="7"/>
  <c r="E20" i="7"/>
  <c r="G20" i="7"/>
  <c r="F20" i="7"/>
  <c r="D22" i="7"/>
  <c r="H24" i="7"/>
  <c r="J26" i="7"/>
  <c r="J27" i="7"/>
  <c r="K19" i="8"/>
  <c r="G20" i="8"/>
  <c r="K21" i="8"/>
  <c r="G21" i="8"/>
  <c r="H21" i="8"/>
  <c r="F21" i="8"/>
  <c r="C22" i="8"/>
  <c r="B27" i="8"/>
  <c r="C27" i="8" s="1"/>
  <c r="K17" i="8"/>
  <c r="G17" i="8"/>
  <c r="I17" i="8"/>
  <c r="I18" i="8"/>
  <c r="K25" i="8"/>
  <c r="G25" i="8"/>
  <c r="I25" i="8"/>
  <c r="I26" i="8"/>
  <c r="E17" i="8"/>
  <c r="J17" i="8"/>
  <c r="E18" i="8"/>
  <c r="J18" i="8"/>
  <c r="E25" i="8"/>
  <c r="J25" i="8"/>
  <c r="E26" i="8"/>
  <c r="J26" i="8"/>
  <c r="K20" i="7" l="1"/>
  <c r="L20" i="7" s="1"/>
  <c r="K18" i="7"/>
  <c r="L18" i="7" s="1"/>
  <c r="K24" i="7"/>
  <c r="L24" i="7" s="1"/>
  <c r="L20" i="8"/>
  <c r="M20" i="8" s="1"/>
  <c r="L21" i="8"/>
  <c r="M21" i="8" s="1"/>
  <c r="K22" i="7"/>
  <c r="L22" i="7" s="1"/>
  <c r="K26" i="7"/>
  <c r="L26" i="7" s="1"/>
  <c r="K21" i="7"/>
  <c r="L21" i="7" s="1"/>
  <c r="H22" i="8"/>
  <c r="G22" i="8"/>
  <c r="K22" i="8"/>
  <c r="F22" i="8"/>
  <c r="J22" i="8"/>
  <c r="E22" i="8"/>
  <c r="I22" i="8"/>
  <c r="L24" i="8"/>
  <c r="M24" i="8" s="1"/>
  <c r="L23" i="8"/>
  <c r="M23" i="8" s="1"/>
  <c r="L16" i="8"/>
  <c r="M16" i="8" s="1"/>
  <c r="L15" i="8"/>
  <c r="M15" i="8" s="1"/>
  <c r="K27" i="7"/>
  <c r="L27" i="7" s="1"/>
  <c r="C28" i="8"/>
  <c r="M29" i="8" s="1"/>
  <c r="L26" i="8"/>
  <c r="M26" i="8" s="1"/>
  <c r="L18" i="8"/>
  <c r="M18" i="8" s="1"/>
  <c r="L25" i="8"/>
  <c r="M25" i="8" s="1"/>
  <c r="L17" i="8"/>
  <c r="M17" i="8" s="1"/>
  <c r="K27" i="8"/>
  <c r="E27" i="8"/>
  <c r="H27" i="8"/>
  <c r="F27" i="8"/>
  <c r="G27" i="8"/>
  <c r="K16" i="7"/>
  <c r="L16" i="7" s="1"/>
  <c r="L19" i="8"/>
  <c r="M19" i="8" s="1"/>
  <c r="L28" i="7" l="1"/>
  <c r="L22" i="8"/>
  <c r="M22" i="8" s="1"/>
  <c r="L27" i="8"/>
  <c r="M27" i="8" s="1"/>
  <c r="M28" i="8" s="1"/>
  <c r="B10" i="5"/>
  <c r="B20" i="5" s="1"/>
  <c r="B24" i="5" l="1"/>
  <c r="B26" i="5" l="1"/>
  <c r="B27" i="5" s="1"/>
</calcChain>
</file>

<file path=xl/sharedStrings.xml><?xml version="1.0" encoding="utf-8"?>
<sst xmlns="http://schemas.openxmlformats.org/spreadsheetml/2006/main" count="427" uniqueCount="298">
  <si>
    <t>Rechenart</t>
  </si>
  <si>
    <t>Wert 1</t>
  </si>
  <si>
    <t>Wert 2</t>
  </si>
  <si>
    <t>Adition, Summe (+)</t>
  </si>
  <si>
    <t>Subtraktion, Differenz (-)</t>
  </si>
  <si>
    <t>Multiplkation, Produkt (*)</t>
  </si>
  <si>
    <t>Divisionm, Quotient (:)</t>
  </si>
  <si>
    <t>Wert</t>
  </si>
  <si>
    <t>7 % USt</t>
  </si>
  <si>
    <t>19 % USt</t>
  </si>
  <si>
    <t>Mehrwertsteuerbetrag aus einer Gesamtsumme berechnen</t>
  </si>
  <si>
    <t>Prozentwert eines Teilwerts vom Gesamtwert berechnen</t>
  </si>
  <si>
    <t>Bsp: Gesamtbetrag ist bekannt, Teilbetrag ist bekannt, wieviel ist das in Prozent?</t>
  </si>
  <si>
    <t>Hier: 18 € von 150 €</t>
  </si>
  <si>
    <t>https://www.youtube.com/watch?v=yMFtJrB2jD0</t>
  </si>
  <si>
    <t>Name</t>
  </si>
  <si>
    <t>Vorname</t>
  </si>
  <si>
    <t>Geburts-datum</t>
  </si>
  <si>
    <t>Straße/HN</t>
  </si>
  <si>
    <t>PLZ</t>
  </si>
  <si>
    <t>Ort</t>
  </si>
  <si>
    <t>Anmeld.Datum</t>
  </si>
  <si>
    <t>TN-Beitrag</t>
  </si>
  <si>
    <t>reduzierter Beitrag</t>
  </si>
  <si>
    <t>Schuster</t>
  </si>
  <si>
    <t>Jonas</t>
  </si>
  <si>
    <t>Jacobstraße 23</t>
  </si>
  <si>
    <t>Halle</t>
  </si>
  <si>
    <t>x</t>
  </si>
  <si>
    <t>Schulze</t>
  </si>
  <si>
    <t>Luise</t>
  </si>
  <si>
    <t>Windhorststraße 13</t>
  </si>
  <si>
    <t>Raste</t>
  </si>
  <si>
    <t>Christine</t>
  </si>
  <si>
    <t>Herman-Kussek-Straße 9</t>
  </si>
  <si>
    <t>Meyer</t>
  </si>
  <si>
    <t>Sabine</t>
  </si>
  <si>
    <t>Königshütter Straße 13</t>
  </si>
  <si>
    <t>Düsseldorf</t>
  </si>
  <si>
    <t>Moritz</t>
  </si>
  <si>
    <t>Klaus</t>
  </si>
  <si>
    <t>Bussestraße 8</t>
  </si>
  <si>
    <t>Stuttgart</t>
  </si>
  <si>
    <t>Wolf</t>
  </si>
  <si>
    <t>Robert</t>
  </si>
  <si>
    <t>Schmeerstraße 1</t>
  </si>
  <si>
    <t>Schmidt</t>
  </si>
  <si>
    <t>Thomas</t>
  </si>
  <si>
    <t>Wittekindstraße 13</t>
  </si>
  <si>
    <t>Leipzig</t>
  </si>
  <si>
    <t>Walter</t>
  </si>
  <si>
    <t>Clara</t>
  </si>
  <si>
    <t>Friedenstraße 9</t>
  </si>
  <si>
    <t>Josten</t>
  </si>
  <si>
    <t>GutMuthsstraße 13</t>
  </si>
  <si>
    <t>Helbing</t>
  </si>
  <si>
    <t>Claudia</t>
  </si>
  <si>
    <t>Talstraße 98</t>
  </si>
  <si>
    <t>Mohamed</t>
  </si>
  <si>
    <t>Ali</t>
  </si>
  <si>
    <t>Beesener Straße 21</t>
  </si>
  <si>
    <t>München</t>
  </si>
  <si>
    <t>Morton</t>
  </si>
  <si>
    <t>Tim</t>
  </si>
  <si>
    <t>Martha-Brautzsch-Straße 11</t>
  </si>
  <si>
    <t>Absage</t>
  </si>
  <si>
    <t>Friedrich</t>
  </si>
  <si>
    <t>Kurt-Eisner-Straße 1</t>
  </si>
  <si>
    <t xml:space="preserve">Projekt: </t>
  </si>
  <si>
    <t>Förderzeitraum: 01.01. - 30.12.2024</t>
  </si>
  <si>
    <t>Position</t>
  </si>
  <si>
    <t>1. Personalausgaben</t>
  </si>
  <si>
    <t>1.1 Projektmitarbeit, 10h/Woche, E9/3</t>
  </si>
  <si>
    <t xml:space="preserve">1.2 strat. Projektleitung 5 h/Woche, E10 </t>
  </si>
  <si>
    <t>2. Sachkosten</t>
  </si>
  <si>
    <t>Honorare künstlerische Leitung</t>
  </si>
  <si>
    <t>Honorare Öffentlichkeitsarbeit</t>
  </si>
  <si>
    <t>Honorare Technik</t>
  </si>
  <si>
    <t>Mietkosten inkl. NK</t>
  </si>
  <si>
    <t>Projektmaterial</t>
  </si>
  <si>
    <t>Fahrtkosten</t>
  </si>
  <si>
    <t>Öffentlichkeitsarbeit (Druckkosten, Give-Aways für 8 Standorte)</t>
  </si>
  <si>
    <t>Veranstaltungskosten</t>
  </si>
  <si>
    <t>Verwaltungskostenpauschale 5%</t>
  </si>
  <si>
    <t>Gesamt</t>
  </si>
  <si>
    <t>Finanzierung</t>
  </si>
  <si>
    <t>Einnahmen</t>
  </si>
  <si>
    <t>öff. Förderer</t>
  </si>
  <si>
    <t>Drittmittell</t>
  </si>
  <si>
    <t>Eigenmittel</t>
  </si>
  <si>
    <t xml:space="preserve">Honorarkalkulation </t>
  </si>
  <si>
    <t>Stundenanzahl</t>
  </si>
  <si>
    <t>Stundensatz</t>
  </si>
  <si>
    <t>Gesamtkosten</t>
  </si>
  <si>
    <t>Personalstammblatt</t>
  </si>
  <si>
    <t>Haushaltsjahr:</t>
  </si>
  <si>
    <t>Name, Vorname:</t>
  </si>
  <si>
    <t>NN</t>
  </si>
  <si>
    <t>Projekt:</t>
  </si>
  <si>
    <t>geb. am:</t>
  </si>
  <si>
    <t>tätig als:</t>
  </si>
  <si>
    <t>Projektmitarbeit</t>
  </si>
  <si>
    <t>Steuerklasse:</t>
  </si>
  <si>
    <t>beschäftigt beim Träger seit:</t>
  </si>
  <si>
    <t>Eingruppierung/E-Stufe:</t>
  </si>
  <si>
    <t>wöch. Arbeitszeit im Projekt:</t>
  </si>
  <si>
    <t xml:space="preserve">Stunden </t>
  </si>
  <si>
    <t>Eingruppierung seit:</t>
  </si>
  <si>
    <t>Tarif:</t>
  </si>
  <si>
    <t>TV-L 2024</t>
  </si>
  <si>
    <t>Sozialversicherung/Beitragssatz:</t>
  </si>
  <si>
    <t>Urlaubsanspruch</t>
  </si>
  <si>
    <t>Sonderzahlung:</t>
  </si>
  <si>
    <t>Wochenarbeitstage</t>
  </si>
  <si>
    <t xml:space="preserve">Arbeitsvertrag vom </t>
  </si>
  <si>
    <t>Monat</t>
  </si>
  <si>
    <t>Grund-   vergütung</t>
  </si>
  <si>
    <t>AN-Brutto
GV/40
*tatsächl. Stundenzahl</t>
  </si>
  <si>
    <t>KV</t>
  </si>
  <si>
    <t>RV</t>
  </si>
  <si>
    <t>AV</t>
  </si>
  <si>
    <t>PV</t>
  </si>
  <si>
    <t>U1</t>
  </si>
  <si>
    <t>U2</t>
  </si>
  <si>
    <t>InSo</t>
  </si>
  <si>
    <t>AG-Anteil</t>
  </si>
  <si>
    <t>Januar</t>
  </si>
  <si>
    <t>Februar</t>
  </si>
  <si>
    <t>März</t>
  </si>
  <si>
    <t>April</t>
  </si>
  <si>
    <t>Mai</t>
  </si>
  <si>
    <t>Juni</t>
  </si>
  <si>
    <t>Juli</t>
  </si>
  <si>
    <t>August</t>
  </si>
  <si>
    <t>September</t>
  </si>
  <si>
    <t>Oktober</t>
  </si>
  <si>
    <t>November</t>
  </si>
  <si>
    <t>Dezember</t>
  </si>
  <si>
    <t>Sonderzahlung</t>
  </si>
  <si>
    <t>Berufsgenossenschaft</t>
  </si>
  <si>
    <t>Berufsgenossenschaft:</t>
  </si>
  <si>
    <t>Gefahrenklasse</t>
  </si>
  <si>
    <t>Hebesatz</t>
  </si>
  <si>
    <t>Projektleitung</t>
  </si>
  <si>
    <t>bAV</t>
  </si>
  <si>
    <t>Differenz</t>
  </si>
  <si>
    <t>Kontrollspalte</t>
  </si>
  <si>
    <t>in €</t>
  </si>
  <si>
    <t>in %</t>
  </si>
  <si>
    <t>nicht überschreiben</t>
  </si>
  <si>
    <t>Finanzierung:</t>
  </si>
  <si>
    <t>Finanzierung Gesamt</t>
  </si>
  <si>
    <t>Datum</t>
  </si>
  <si>
    <t>Beleg Nr.</t>
  </si>
  <si>
    <t>Empfänger / Einzahler</t>
  </si>
  <si>
    <t>Ausgaben</t>
  </si>
  <si>
    <t>VB23/123</t>
  </si>
  <si>
    <t>Beispeilbeleg: Lise Meier, Honorar Layout, #1234</t>
  </si>
  <si>
    <t>VB23/134</t>
  </si>
  <si>
    <t>Beispielbeleg: Landeshauptkasse, 1. Mittelabruf</t>
  </si>
  <si>
    <t>Hochrechnung</t>
  </si>
  <si>
    <t>voraussichtl. Zahlungsdatum</t>
  </si>
  <si>
    <t>Empfänger / Zahlungsgrund</t>
  </si>
  <si>
    <t xml:space="preserve"> Zahlbetrag (mögl. genau) </t>
  </si>
  <si>
    <t>Beispiel</t>
  </si>
  <si>
    <t>+</t>
  </si>
  <si>
    <t>-</t>
  </si>
  <si>
    <t>/</t>
  </si>
  <si>
    <t>*</t>
  </si>
  <si>
    <t>%</t>
  </si>
  <si>
    <t>^</t>
  </si>
  <si>
    <t>Operator</t>
  </si>
  <si>
    <t>Bedeutung</t>
  </si>
  <si>
    <t>Priorität</t>
  </si>
  <si>
    <t>Bereichsoperatoren</t>
  </si>
  <si>
    <t>:</t>
  </si>
  <si>
    <t>B3:B7</t>
  </si>
  <si>
    <t>Bereich</t>
  </si>
  <si>
    <t>Leer</t>
  </si>
  <si>
    <t>B3:B8  C4:F6</t>
  </si>
  <si>
    <t>bildet eine Schnittmenge von Bereichen (A1:B1  A2:B2)</t>
  </si>
  <si>
    <t>;</t>
  </si>
  <si>
    <t>B3:B12;C3:C15</t>
  </si>
  <si>
    <t>Arithmetische Operatoren</t>
  </si>
  <si>
    <t>(5*2)</t>
  </si>
  <si>
    <t>Vorzeichen</t>
  </si>
  <si>
    <t xml:space="preserve">10  % </t>
  </si>
  <si>
    <t xml:space="preserve">Prozent </t>
  </si>
  <si>
    <t>5^2</t>
  </si>
  <si>
    <t>Potenzierung</t>
  </si>
  <si>
    <t>5*6</t>
  </si>
  <si>
    <t>Multiplikation</t>
  </si>
  <si>
    <t xml:space="preserve"> /</t>
  </si>
  <si>
    <t xml:space="preserve">  1  /  4</t>
  </si>
  <si>
    <t>Division</t>
  </si>
  <si>
    <t xml:space="preserve">  + </t>
  </si>
  <si>
    <t xml:space="preserve"> 3 +5</t>
  </si>
  <si>
    <t>Addition</t>
  </si>
  <si>
    <t xml:space="preserve">  - </t>
  </si>
  <si>
    <t xml:space="preserve">  3  -7</t>
  </si>
  <si>
    <t>Subtraktion</t>
  </si>
  <si>
    <t>Verkettungsoperatoren</t>
  </si>
  <si>
    <t>&amp;</t>
  </si>
  <si>
    <t>B2 &amp; B7</t>
  </si>
  <si>
    <t>Verketten Texte miteinander</t>
  </si>
  <si>
    <t>Vergleichsoperatoren</t>
  </si>
  <si>
    <t>&lt;</t>
  </si>
  <si>
    <t>B3&lt;B4</t>
  </si>
  <si>
    <t>kleiner als</t>
  </si>
  <si>
    <t>&gt;</t>
  </si>
  <si>
    <t>B6&gt;B4</t>
  </si>
  <si>
    <t>größer als</t>
  </si>
  <si>
    <t xml:space="preserve">   = </t>
  </si>
  <si>
    <t>B5  = B7</t>
  </si>
  <si>
    <t>gleich</t>
  </si>
  <si>
    <t xml:space="preserve"> &lt; &gt;</t>
  </si>
  <si>
    <t>B5  &lt;&gt; B8</t>
  </si>
  <si>
    <t>ungleich</t>
  </si>
  <si>
    <t>&lt; =</t>
  </si>
  <si>
    <t>B5 &lt;=  B4</t>
  </si>
  <si>
    <t>kleiner gleich</t>
  </si>
  <si>
    <t xml:space="preserve">&gt; = </t>
  </si>
  <si>
    <t>B4&gt;=   B8</t>
  </si>
  <si>
    <t>größer gleich</t>
  </si>
  <si>
    <t>Berechnung händisch</t>
  </si>
  <si>
    <t>Berechnung Zellbezug</t>
  </si>
  <si>
    <t>=100-20</t>
  </si>
  <si>
    <t>=100+20</t>
  </si>
  <si>
    <t>=B5-C5</t>
  </si>
  <si>
    <t>=B4+C4</t>
  </si>
  <si>
    <t>=SUMME(B4;C4)</t>
  </si>
  <si>
    <t>=SUMME(B4:C4)</t>
  </si>
  <si>
    <t>gibt es nicht :-)</t>
  </si>
  <si>
    <t>=100*20</t>
  </si>
  <si>
    <t>=B6*C6</t>
  </si>
  <si>
    <t>=PRODUKT(B6;C6)</t>
  </si>
  <si>
    <t>Übersicht Rechenzeichen</t>
  </si>
  <si>
    <t>=PRODUKT(B6:C6)</t>
  </si>
  <si>
    <t>Priorisierung der Operatoren</t>
  </si>
  <si>
    <t>Verbindungsoperator; mit ihm können mehrere Bezüge zu einem verbunden werden: 
= (SUMME (B5:B10;D5:D19)</t>
  </si>
  <si>
    <t xml:space="preserve">Die Priorität bestimmt die Reihenfolge, in der Excel die Operatoren auswertet. 
Nehmen wir folgendes Rechenbeispiel:
=5+6*3-7
Würde das Programm schlicht von links nach recht vorgehen, ergäbe sich:
5 + 6 = 11
11*3 = 33
33-7  = 26
Tatsächlich führt Excel korrekterweise zuerst die Multiplikation durch, die Priorität vor der Addition und der Subtraktion hat:
6*3 = 18
5 + 18 -7
Die Operation mit der höheren Priorität wird also zuerst ausgeführt. 
Bei Operatoren mit derselben Priorität arbeitet Excel von links nach rechts. Soll die Rangfolge hierbei unterlaufen werden, muss mit Klammern gearbeitet werden:
=(5*6)*(3-7)
Hierbei wird dann zeurst das Innere der Klammern berechnet:
=30*-4
ergibt =-120
</t>
  </si>
  <si>
    <t xml:space="preserve">Grundlagen </t>
  </si>
  <si>
    <t>% vom (Netto-)Wert berechnen</t>
  </si>
  <si>
    <t>Funktion</t>
  </si>
  <si>
    <t>Bezeichnung</t>
  </si>
  <si>
    <t>Beschreibung</t>
  </si>
  <si>
    <t>Mittelwert</t>
  </si>
  <si>
    <t>Durchschnitt aller Werte</t>
  </si>
  <si>
    <t>Anzahl</t>
  </si>
  <si>
    <t>(Anzahl der Zahlen)</t>
  </si>
  <si>
    <t>Anzahl2</t>
  </si>
  <si>
    <t>(Anzahl der Werte)</t>
  </si>
  <si>
    <t>Max</t>
  </si>
  <si>
    <t>(Maximalwert)</t>
  </si>
  <si>
    <t>Min</t>
  </si>
  <si>
    <t>(Minimalwert)</t>
  </si>
  <si>
    <t>Produkt</t>
  </si>
  <si>
    <t>Multipliziert alle Argumente</t>
  </si>
  <si>
    <t>Stabw</t>
  </si>
  <si>
    <t>(Standardabweichung von einer Stichprobe)</t>
  </si>
  <si>
    <t>Stabwn</t>
  </si>
  <si>
    <t>(Standardabweichung von der Grundgesamtheit)</t>
  </si>
  <si>
    <t>Summe</t>
  </si>
  <si>
    <t>Summe aller Werte</t>
  </si>
  <si>
    <t>Varianz</t>
  </si>
  <si>
    <t>(Varianz von einer Stichprobe)</t>
  </si>
  <si>
    <t>Varianzen</t>
  </si>
  <si>
    <t>(Varianz von der Grundgesamtheit)</t>
  </si>
  <si>
    <t>Teilergebnis: Die Funktionen im Überblick</t>
  </si>
  <si>
    <t xml:space="preserve">Subtraktion </t>
  </si>
  <si>
    <t>Prozent</t>
  </si>
  <si>
    <t>Potenz</t>
  </si>
  <si>
    <t>Nettowert aus Gesamtsumme berechnen</t>
  </si>
  <si>
    <t>Ergebnis Funktion (Formel)</t>
  </si>
  <si>
    <t>Funktion (Formel) Bereich</t>
  </si>
  <si>
    <t>06110</t>
  </si>
  <si>
    <t>06114</t>
  </si>
  <si>
    <t>06122</t>
  </si>
  <si>
    <t>04523</t>
  </si>
  <si>
    <t>06112</t>
  </si>
  <si>
    <t>04765</t>
  </si>
  <si>
    <t>Kosten- und Finanzierungsplan Stand Nov 2024</t>
  </si>
  <si>
    <t>Förderzeitraum: 01.01. - 30.12.2025</t>
  </si>
  <si>
    <t>Ausgaben Plan</t>
  </si>
  <si>
    <t>Einnahmen Plan</t>
  </si>
  <si>
    <t xml:space="preserve"> Ausgaben IST</t>
  </si>
  <si>
    <t>Anteil an der Gesamtfinanzierung</t>
  </si>
  <si>
    <t>Plan in €</t>
  </si>
  <si>
    <t>Plan in %</t>
  </si>
  <si>
    <t>IST in €</t>
  </si>
  <si>
    <t>Bunte Stadt</t>
  </si>
  <si>
    <t>E9b</t>
  </si>
  <si>
    <t xml:space="preserve">Funktionen setzen sich aus Argumenten zusammen und benötigen immer ein =-Zeichen für Berechnung
Bsp: =SUMME(B4:B7;C4:C7)
</t>
  </si>
  <si>
    <t>=100/20</t>
  </si>
  <si>
    <t>=B7/C7</t>
  </si>
  <si>
    <t>=18/150</t>
  </si>
  <si>
    <t>Einnahmen Ist</t>
  </si>
  <si>
    <t>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</si>
</sst>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quot; €&quot;_-;\-* #,##0.00&quot; €&quot;_-;_-* \-??&quot; €&quot;_-;_-@_-"/>
    <numFmt numFmtId="165" formatCode="0\ %"/>
    <numFmt numFmtId="166" formatCode="_-* #,##0.00&quot; DM&quot;_-;\-* #,##0.00&quot; DM&quot;_-;_-* \-??&quot; DM&quot;_-;_-@_-"/>
    <numFmt numFmtId="167" formatCode="_-* #,##0.00\ [$€]_-;\-* #,##0.00\ [$€]_-;_-* \-??\ [$€]_-;_-@_-"/>
    <numFmt numFmtId="168" formatCode="#,##0.00\ [$€]\ ;\-#,##0.00\ [$€]\ ;\-00\ [$€]\ ;\ @\ "/>
    <numFmt numFmtId="169" formatCode="dd/mmm"/>
    <numFmt numFmtId="170" formatCode="dd/mm/yy"/>
    <numFmt numFmtId="171" formatCode="#,##0.00\ [$€-407];[Red]\-#,##0.00\ [$€-407]"/>
    <numFmt numFmtId="172" formatCode="0.00\ %"/>
    <numFmt numFmtId="173" formatCode="#,##0.00\ _€"/>
    <numFmt numFmtId="174" formatCode="[$-407]dd/\ mmm"/>
    <numFmt numFmtId="175" formatCode="0.000%"/>
    <numFmt numFmtId="176" formatCode="0&quot; h&quot;"/>
    <numFmt numFmtId="177" formatCode="0.0%"/>
    <numFmt numFmtId="178" formatCode="#,##0.00&quot; €&quot;"/>
    <numFmt numFmtId="179" formatCode="#,##0.0000&quot; €&quot;"/>
    <numFmt numFmtId="180" formatCode="[$-407]mmmm\ yy;@"/>
    <numFmt numFmtId="181" formatCode="_-* #,##0.00\ [$€-407]_-;\-* #,##0.00\ [$€-407]_-;_-* &quot;-&quot;??\ [$€-407]_-;_-@_-"/>
  </numFmts>
  <fonts count="45">
    <font>
      <sz val="11"/>
      <color rgb="FF000000"/>
      <name val="Calibri"/>
      <family val="2"/>
    </font>
    <font>
      <sz val="11"/>
      <color theme="1"/>
      <name val="Calibri"/>
      <family val="2"/>
      <scheme val="minor"/>
    </font>
    <font>
      <sz val="11"/>
      <color rgb="FFC0C0C0"/>
      <name val="Calibri"/>
      <family val="2"/>
      <charset val="1"/>
    </font>
    <font>
      <b/>
      <sz val="11"/>
      <color rgb="FF333333"/>
      <name val="Calibri"/>
      <family val="2"/>
      <charset val="1"/>
    </font>
    <font>
      <b/>
      <sz val="11"/>
      <color rgb="FFFF9900"/>
      <name val="Calibri"/>
      <family val="2"/>
      <charset val="1"/>
    </font>
    <font>
      <sz val="11"/>
      <color rgb="FF333399"/>
      <name val="Calibri"/>
      <family val="2"/>
      <charset val="1"/>
    </font>
    <font>
      <i/>
      <sz val="11"/>
      <color rgb="FF808080"/>
      <name val="Calibri"/>
      <family val="2"/>
      <charset val="1"/>
    </font>
    <font>
      <sz val="11"/>
      <color rgb="FF333333"/>
      <name val="Calibri"/>
      <family val="2"/>
      <charset val="1"/>
    </font>
    <font>
      <sz val="11"/>
      <color rgb="FF008000"/>
      <name val="Calibri"/>
      <family val="2"/>
      <charset val="1"/>
    </font>
    <font>
      <sz val="11"/>
      <color rgb="FF993300"/>
      <name val="Calibri"/>
      <family val="2"/>
      <charset val="1"/>
    </font>
    <font>
      <sz val="11"/>
      <color rgb="FF800080"/>
      <name val="Calibri"/>
      <family val="2"/>
      <charset val="1"/>
    </font>
    <font>
      <sz val="10"/>
      <name val="Arial"/>
      <family val="2"/>
      <charset val="1"/>
    </font>
    <font>
      <sz val="11"/>
      <color rgb="FFFF9900"/>
      <name val="Calibri"/>
      <family val="2"/>
      <charset val="1"/>
    </font>
    <font>
      <sz val="11"/>
      <color rgb="FFFF6600"/>
      <name val="Calibri"/>
      <family val="2"/>
      <charset val="1"/>
    </font>
    <font>
      <b/>
      <sz val="11"/>
      <color rgb="FFC0C0C0"/>
      <name val="Calibri"/>
      <family val="2"/>
      <charset val="1"/>
    </font>
    <font>
      <b/>
      <sz val="15"/>
      <color rgb="FF003366"/>
      <name val="Calibri"/>
      <family val="2"/>
      <charset val="1"/>
    </font>
    <font>
      <b/>
      <sz val="13"/>
      <color rgb="FF003366"/>
      <name val="Calibri"/>
      <family val="2"/>
      <charset val="1"/>
    </font>
    <font>
      <b/>
      <sz val="11"/>
      <color rgb="FF003366"/>
      <name val="Calibri"/>
      <family val="2"/>
      <charset val="1"/>
    </font>
    <font>
      <b/>
      <sz val="18"/>
      <color rgb="FF003366"/>
      <name val="Cambria"/>
      <family val="2"/>
      <charset val="1"/>
    </font>
    <font>
      <sz val="10"/>
      <name val="Arial"/>
      <family val="2"/>
    </font>
    <font>
      <sz val="11"/>
      <color rgb="FFFFFFFF"/>
      <name val="Calibri"/>
      <family val="2"/>
    </font>
    <font>
      <b/>
      <sz val="11"/>
      <color rgb="FF000000"/>
      <name val="Calibri"/>
      <family val="2"/>
    </font>
    <font>
      <sz val="11"/>
      <name val="Calibri"/>
      <family val="2"/>
    </font>
    <font>
      <b/>
      <u/>
      <sz val="9"/>
      <name val="Segoe UI"/>
      <family val="2"/>
    </font>
    <font>
      <u/>
      <sz val="9"/>
      <name val="Segoe UI"/>
      <family val="2"/>
    </font>
    <font>
      <sz val="9"/>
      <name val="Segoe UI"/>
      <family val="2"/>
    </font>
    <font>
      <b/>
      <sz val="9"/>
      <name val="Segoe UI"/>
      <family val="2"/>
    </font>
    <font>
      <b/>
      <i/>
      <sz val="9"/>
      <name val="Segoe UI"/>
      <family val="2"/>
    </font>
    <font>
      <sz val="9"/>
      <name val="CG Omega"/>
      <family val="2"/>
    </font>
    <font>
      <sz val="9"/>
      <name val="Arial"/>
      <family val="2"/>
    </font>
    <font>
      <b/>
      <sz val="10"/>
      <name val="Tahoma"/>
      <family val="2"/>
      <charset val="1"/>
    </font>
    <font>
      <b/>
      <sz val="10"/>
      <name val="Segoe UI"/>
      <family val="2"/>
      <charset val="1"/>
    </font>
    <font>
      <b/>
      <sz val="9"/>
      <name val="Tahoma"/>
      <family val="2"/>
      <charset val="1"/>
    </font>
    <font>
      <sz val="10"/>
      <name val="Tahoma"/>
      <family val="2"/>
      <charset val="1"/>
    </font>
    <font>
      <sz val="9"/>
      <color rgb="FF333333"/>
      <name val="Tahoma"/>
      <family val="2"/>
      <charset val="1"/>
    </font>
    <font>
      <sz val="9"/>
      <name val="Tahoma"/>
      <family val="2"/>
      <charset val="1"/>
    </font>
    <font>
      <sz val="11"/>
      <name val="Tahoma"/>
      <family val="2"/>
      <charset val="1"/>
    </font>
    <font>
      <b/>
      <sz val="10"/>
      <name val="CG Omega"/>
      <family val="2"/>
      <charset val="1"/>
    </font>
    <font>
      <b/>
      <sz val="11"/>
      <color rgb="FF333333"/>
      <name val="Calibri"/>
      <family val="2"/>
    </font>
    <font>
      <b/>
      <sz val="9"/>
      <color rgb="FF333333"/>
      <name val="Tahoma"/>
      <family val="2"/>
    </font>
    <font>
      <sz val="11"/>
      <color rgb="FF000000"/>
      <name val="Calibri"/>
      <family val="2"/>
    </font>
    <font>
      <b/>
      <sz val="11"/>
      <color theme="1"/>
      <name val="Arial"/>
      <family val="2"/>
    </font>
    <font>
      <sz val="10"/>
      <color theme="1"/>
      <name val="Arial"/>
      <family val="2"/>
    </font>
    <font>
      <b/>
      <sz val="10"/>
      <color theme="1"/>
      <name val="Arial"/>
      <family val="2"/>
    </font>
    <font>
      <b/>
      <sz val="11"/>
      <name val="Tahoma"/>
      <family val="2"/>
    </font>
  </fonts>
  <fills count="33">
    <fill>
      <patternFill patternType="none"/>
    </fill>
    <fill>
      <patternFill patternType="gray125"/>
    </fill>
    <fill>
      <patternFill patternType="solid">
        <fgColor rgb="FF333399"/>
        <bgColor rgb="FF383D3C"/>
      </patternFill>
    </fill>
    <fill>
      <patternFill patternType="solid">
        <fgColor rgb="FFFF6600"/>
        <bgColor rgb="FFFF9900"/>
      </patternFill>
    </fill>
    <fill>
      <patternFill patternType="solid">
        <fgColor rgb="FF339966"/>
        <bgColor rgb="FF008080"/>
      </patternFill>
    </fill>
    <fill>
      <patternFill patternType="solid">
        <fgColor rgb="FF800080"/>
        <bgColor rgb="FF660066"/>
      </patternFill>
    </fill>
    <fill>
      <patternFill patternType="solid">
        <fgColor rgb="FF33CCCC"/>
        <bgColor rgb="FF00CCFF"/>
      </patternFill>
    </fill>
    <fill>
      <patternFill patternType="solid">
        <fgColor rgb="FFC0C0C0"/>
        <bgColor rgb="FFE0C2CD"/>
      </patternFill>
    </fill>
    <fill>
      <patternFill patternType="solid">
        <fgColor rgb="FFFFCC99"/>
        <bgColor rgb="FFFFDE59"/>
      </patternFill>
    </fill>
    <fill>
      <patternFill patternType="solid">
        <fgColor rgb="FFCCFFCC"/>
        <bgColor rgb="FFCCFFFF"/>
      </patternFill>
    </fill>
    <fill>
      <patternFill patternType="solid">
        <fgColor rgb="FFFFFF99"/>
        <bgColor rgb="FFFFFFCC"/>
      </patternFill>
    </fill>
    <fill>
      <patternFill patternType="solid">
        <fgColor rgb="FFFFFFCC"/>
        <bgColor rgb="FFFFFFFF"/>
      </patternFill>
    </fill>
    <fill>
      <patternFill patternType="solid">
        <fgColor rgb="FFFF99CC"/>
        <bgColor rgb="FFFFA6A6"/>
      </patternFill>
    </fill>
    <fill>
      <patternFill patternType="solid">
        <fgColor rgb="FF969696"/>
        <bgColor rgb="FF808080"/>
      </patternFill>
    </fill>
    <fill>
      <patternFill patternType="solid">
        <fgColor rgb="FF99CCFF"/>
        <bgColor rgb="FFCCCCFF"/>
      </patternFill>
    </fill>
    <fill>
      <patternFill patternType="solid">
        <fgColor rgb="FFFF8080"/>
        <bgColor rgb="FFFF99CC"/>
      </patternFill>
    </fill>
    <fill>
      <patternFill patternType="solid">
        <fgColor rgb="FFCCFFFF"/>
        <bgColor rgb="FFCCFFCC"/>
      </patternFill>
    </fill>
    <fill>
      <patternFill patternType="solid">
        <fgColor rgb="FFCCCCFF"/>
        <bgColor rgb="FFE0C2CD"/>
      </patternFill>
    </fill>
    <fill>
      <patternFill patternType="solid">
        <fgColor rgb="FFCC99FF"/>
        <bgColor rgb="FFFF99CC"/>
      </patternFill>
    </fill>
    <fill>
      <patternFill patternType="solid">
        <fgColor rgb="FF1FB714"/>
        <bgColor rgb="FF5EB91E"/>
      </patternFill>
    </fill>
    <fill>
      <patternFill patternType="solid">
        <fgColor rgb="FFFFCC00"/>
        <bgColor rgb="FFFFDE59"/>
      </patternFill>
    </fill>
    <fill>
      <patternFill patternType="solid">
        <fgColor rgb="FF0066CC"/>
        <bgColor rgb="FF008080"/>
      </patternFill>
    </fill>
    <fill>
      <patternFill patternType="solid">
        <fgColor rgb="FFFF9900"/>
        <bgColor rgb="FFFFCC00"/>
      </patternFill>
    </fill>
    <fill>
      <patternFill patternType="solid">
        <fgColor rgb="FF99CC00"/>
        <bgColor rgb="FF92D050"/>
      </patternFill>
    </fill>
    <fill>
      <patternFill patternType="solid">
        <fgColor rgb="FFE0C2CD"/>
        <bgColor rgb="FFC0C0C0"/>
      </patternFill>
    </fill>
    <fill>
      <patternFill patternType="solid">
        <fgColor rgb="FFFFFF00"/>
        <bgColor rgb="FFFFDE59"/>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rgb="FFCCFFCC"/>
      </patternFill>
    </fill>
    <fill>
      <patternFill patternType="solid">
        <fgColor theme="7" tint="0.79998168889431442"/>
        <bgColor indexed="64"/>
      </patternFill>
    </fill>
  </fills>
  <borders count="32">
    <border>
      <left/>
      <right/>
      <top/>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right/>
      <top style="thin">
        <color rgb="FF333399"/>
      </top>
      <bottom style="double">
        <color rgb="FF333399"/>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5">
    <xf numFmtId="0" fontId="0" fillId="0" borderId="0"/>
    <xf numFmtId="165" fontId="7" fillId="0" borderId="0" applyBorder="0" applyProtection="0"/>
    <xf numFmtId="0" fontId="2" fillId="2" borderId="0" applyBorder="0" applyProtection="0"/>
    <xf numFmtId="0" fontId="2" fillId="3" borderId="0" applyBorder="0" applyProtection="0"/>
    <xf numFmtId="0" fontId="2" fillId="4" borderId="0" applyBorder="0" applyProtection="0"/>
    <xf numFmtId="0" fontId="2" fillId="5" borderId="0" applyBorder="0" applyProtection="0"/>
    <xf numFmtId="0" fontId="2" fillId="6" borderId="0" applyBorder="0" applyProtection="0"/>
    <xf numFmtId="0" fontId="2" fillId="3" borderId="0" applyBorder="0" applyProtection="0"/>
    <xf numFmtId="0" fontId="3" fillId="7" borderId="1" applyProtection="0"/>
    <xf numFmtId="0" fontId="4" fillId="7" borderId="2" applyProtection="0"/>
    <xf numFmtId="0" fontId="5" fillId="8" borderId="2" applyProtection="0"/>
    <xf numFmtId="0" fontId="3" fillId="0" borderId="3" applyProtection="0"/>
    <xf numFmtId="0" fontId="6" fillId="0" borderId="0" applyBorder="0" applyProtection="0"/>
    <xf numFmtId="164" fontId="7" fillId="0" borderId="0" applyBorder="0" applyProtection="0"/>
    <xf numFmtId="0" fontId="8" fillId="9" borderId="0" applyBorder="0" applyProtection="0"/>
    <xf numFmtId="0" fontId="9" fillId="10" borderId="0" applyBorder="0" applyProtection="0"/>
    <xf numFmtId="0" fontId="7" fillId="11" borderId="4" applyProtection="0"/>
    <xf numFmtId="165" fontId="7" fillId="0" borderId="0" applyBorder="0" applyProtection="0"/>
    <xf numFmtId="0" fontId="10" fillId="12" borderId="0" applyBorder="0" applyProtection="0"/>
    <xf numFmtId="0" fontId="11" fillId="0" borderId="0"/>
    <xf numFmtId="0" fontId="11" fillId="0" borderId="0"/>
    <xf numFmtId="0" fontId="11" fillId="0" borderId="0"/>
    <xf numFmtId="0" fontId="12" fillId="0" borderId="5" applyProtection="0"/>
    <xf numFmtId="0" fontId="13" fillId="0" borderId="0" applyBorder="0" applyProtection="0"/>
    <xf numFmtId="164" fontId="7" fillId="0" borderId="0" applyBorder="0" applyProtection="0"/>
    <xf numFmtId="166" fontId="7" fillId="0" borderId="0" applyBorder="0" applyProtection="0"/>
    <xf numFmtId="0" fontId="14" fillId="13" borderId="6" applyProtection="0"/>
    <xf numFmtId="0" fontId="15" fillId="0" borderId="7" applyProtection="0"/>
    <xf numFmtId="0" fontId="16" fillId="0" borderId="8" applyProtection="0"/>
    <xf numFmtId="0" fontId="17" fillId="0" borderId="9" applyProtection="0"/>
    <xf numFmtId="0" fontId="17" fillId="0" borderId="0" applyBorder="0" applyProtection="0"/>
    <xf numFmtId="0" fontId="18" fillId="0" borderId="0" applyBorder="0" applyProtection="0"/>
    <xf numFmtId="167" fontId="40" fillId="0" borderId="0" applyBorder="0" applyAlignment="0" applyProtection="0"/>
    <xf numFmtId="0" fontId="19" fillId="0" borderId="0"/>
    <xf numFmtId="0" fontId="19" fillId="0" borderId="0"/>
    <xf numFmtId="0" fontId="40" fillId="14" borderId="0" applyBorder="0" applyAlignment="0" applyProtection="0"/>
    <xf numFmtId="0" fontId="40" fillId="15" borderId="0" applyBorder="0" applyAlignment="0" applyProtection="0"/>
    <xf numFmtId="0" fontId="40" fillId="11" borderId="0" applyBorder="0" applyAlignment="0" applyProtection="0"/>
    <xf numFmtId="0" fontId="40" fillId="8" borderId="0" applyBorder="0" applyAlignment="0" applyProtection="0"/>
    <xf numFmtId="0" fontId="40" fillId="16" borderId="0" applyBorder="0" applyAlignment="0" applyProtection="0"/>
    <xf numFmtId="0" fontId="40" fillId="11" borderId="0" applyBorder="0" applyAlignment="0" applyProtection="0"/>
    <xf numFmtId="0" fontId="40" fillId="17" borderId="0" applyBorder="0" applyAlignment="0" applyProtection="0"/>
    <xf numFmtId="0" fontId="40" fillId="12" borderId="0" applyBorder="0" applyAlignment="0" applyProtection="0"/>
    <xf numFmtId="0" fontId="40" fillId="9" borderId="0" applyBorder="0" applyAlignment="0" applyProtection="0"/>
    <xf numFmtId="0" fontId="40" fillId="18" borderId="0" applyBorder="0" applyAlignment="0" applyProtection="0"/>
    <xf numFmtId="0" fontId="40" fillId="16" borderId="0" applyBorder="0" applyAlignment="0" applyProtection="0"/>
    <xf numFmtId="0" fontId="40" fillId="8" borderId="0" applyBorder="0" applyAlignment="0" applyProtection="0"/>
    <xf numFmtId="0" fontId="40" fillId="16" borderId="0" applyBorder="0" applyAlignment="0" applyProtection="0"/>
    <xf numFmtId="0" fontId="40" fillId="15" borderId="0" applyBorder="0" applyAlignment="0" applyProtection="0"/>
    <xf numFmtId="0" fontId="40" fillId="10" borderId="0" applyBorder="0" applyAlignment="0" applyProtection="0"/>
    <xf numFmtId="0" fontId="40" fillId="12" borderId="0" applyBorder="0" applyAlignment="0" applyProtection="0"/>
    <xf numFmtId="0" fontId="40" fillId="16" borderId="0" applyBorder="0" applyAlignment="0" applyProtection="0"/>
    <xf numFmtId="0" fontId="40" fillId="11" borderId="0" applyBorder="0" applyAlignment="0" applyProtection="0"/>
    <xf numFmtId="0" fontId="40" fillId="14" borderId="0" applyBorder="0" applyAlignment="0" applyProtection="0"/>
    <xf numFmtId="0" fontId="40" fillId="15" borderId="0" applyBorder="0" applyAlignment="0" applyProtection="0"/>
    <xf numFmtId="0" fontId="40" fillId="19" borderId="0" applyBorder="0" applyAlignment="0" applyProtection="0"/>
    <xf numFmtId="0" fontId="40" fillId="18" borderId="0" applyBorder="0" applyAlignment="0" applyProtection="0"/>
    <xf numFmtId="0" fontId="40" fillId="14" borderId="0" applyBorder="0" applyAlignment="0" applyProtection="0"/>
    <xf numFmtId="0" fontId="40" fillId="20" borderId="0" applyBorder="0" applyAlignment="0" applyProtection="0"/>
    <xf numFmtId="0" fontId="20" fillId="16" borderId="0" applyBorder="0" applyAlignment="0" applyProtection="0"/>
    <xf numFmtId="0" fontId="20" fillId="3" borderId="0" applyBorder="0" applyAlignment="0" applyProtection="0"/>
    <xf numFmtId="0" fontId="20" fillId="20" borderId="0" applyBorder="0" applyAlignment="0" applyProtection="0"/>
    <xf numFmtId="0" fontId="20" fillId="12" borderId="0" applyBorder="0" applyAlignment="0" applyProtection="0"/>
    <xf numFmtId="0" fontId="20" fillId="16" borderId="0" applyBorder="0" applyAlignment="0" applyProtection="0"/>
    <xf numFmtId="0" fontId="20" fillId="15" borderId="0" applyBorder="0" applyAlignment="0" applyProtection="0"/>
    <xf numFmtId="0" fontId="20" fillId="21" borderId="0" applyBorder="0" applyAlignment="0" applyProtection="0"/>
    <xf numFmtId="0" fontId="20" fillId="15" borderId="0" applyBorder="0" applyAlignment="0" applyProtection="0"/>
    <xf numFmtId="0" fontId="20" fillId="19" borderId="0" applyBorder="0" applyAlignment="0" applyProtection="0"/>
    <xf numFmtId="0" fontId="20" fillId="5" borderId="0" applyBorder="0" applyAlignment="0" applyProtection="0"/>
    <xf numFmtId="0" fontId="20" fillId="6" borderId="0" applyBorder="0" applyAlignment="0" applyProtection="0"/>
    <xf numFmtId="0" fontId="20" fillId="22" borderId="0" applyBorder="0" applyAlignment="0" applyProtection="0"/>
    <xf numFmtId="165" fontId="40" fillId="0" borderId="0" applyBorder="0" applyAlignment="0" applyProtection="0"/>
    <xf numFmtId="165" fontId="40" fillId="0" borderId="0" applyBorder="0" applyAlignment="0" applyProtection="0"/>
    <xf numFmtId="168" fontId="40" fillId="0" borderId="0" applyBorder="0" applyAlignment="0" applyProtection="0"/>
    <xf numFmtId="0" fontId="1" fillId="0" borderId="0"/>
  </cellStyleXfs>
  <cellXfs count="186">
    <xf numFmtId="0" fontId="0" fillId="0" borderId="0" xfId="0"/>
    <xf numFmtId="0" fontId="21" fillId="0" borderId="0" xfId="0" applyFont="1"/>
    <xf numFmtId="0" fontId="21" fillId="0" borderId="0" xfId="0" applyFont="1" applyAlignment="1">
      <alignment wrapText="1"/>
    </xf>
    <xf numFmtId="0" fontId="0" fillId="0" borderId="0" xfId="0"/>
    <xf numFmtId="169" fontId="0" fillId="0" borderId="0" xfId="0" applyNumberFormat="1"/>
    <xf numFmtId="170" fontId="0" fillId="0" borderId="0" xfId="0" applyNumberFormat="1" applyFont="1"/>
    <xf numFmtId="171" fontId="0" fillId="0" borderId="0" xfId="0" applyNumberFormat="1"/>
    <xf numFmtId="0" fontId="20" fillId="0" borderId="0" xfId="0" applyFont="1"/>
    <xf numFmtId="171" fontId="20" fillId="0" borderId="0" xfId="0" applyNumberFormat="1" applyFont="1"/>
    <xf numFmtId="169" fontId="0" fillId="0" borderId="0" xfId="0" applyNumberFormat="1" applyFont="1" applyAlignment="1">
      <alignment wrapText="1"/>
    </xf>
    <xf numFmtId="172" fontId="20" fillId="0" borderId="0" xfId="0" applyNumberFormat="1" applyFont="1"/>
    <xf numFmtId="0" fontId="0" fillId="0" borderId="0" xfId="0" applyFont="1" applyAlignment="1">
      <alignment wrapText="1"/>
    </xf>
    <xf numFmtId="14" fontId="0" fillId="0" borderId="0" xfId="0" applyNumberFormat="1"/>
    <xf numFmtId="173" fontId="0" fillId="0" borderId="0" xfId="0" applyNumberFormat="1"/>
    <xf numFmtId="173" fontId="0" fillId="0" borderId="0" xfId="0" applyNumberFormat="1" applyAlignment="1">
      <alignment wrapText="1"/>
    </xf>
    <xf numFmtId="0" fontId="21" fillId="23" borderId="11" xfId="0" applyFont="1" applyFill="1" applyBorder="1"/>
    <xf numFmtId="0" fontId="21" fillId="0" borderId="11" xfId="0" applyFont="1" applyBorder="1" applyAlignment="1">
      <alignment vertical="center" wrapText="1"/>
    </xf>
    <xf numFmtId="164" fontId="21" fillId="0" borderId="11" xfId="73" applyNumberFormat="1" applyFont="1" applyBorder="1" applyAlignment="1" applyProtection="1">
      <alignment vertical="center" wrapText="1"/>
    </xf>
    <xf numFmtId="0" fontId="0" fillId="0" borderId="11" xfId="0" applyFont="1" applyBorder="1" applyAlignment="1">
      <alignment vertical="center" wrapText="1"/>
    </xf>
    <xf numFmtId="164" fontId="22" fillId="0" borderId="11" xfId="73" applyNumberFormat="1" applyFont="1" applyBorder="1" applyAlignment="1" applyProtection="1">
      <alignment vertical="center" wrapText="1"/>
    </xf>
    <xf numFmtId="174" fontId="0" fillId="0" borderId="11" xfId="0" applyNumberFormat="1" applyFont="1" applyBorder="1" applyAlignment="1">
      <alignment vertical="center" wrapText="1"/>
    </xf>
    <xf numFmtId="164" fontId="0" fillId="0" borderId="11" xfId="73" applyNumberFormat="1" applyFont="1" applyBorder="1" applyAlignment="1" applyProtection="1">
      <alignment vertical="center" wrapText="1"/>
    </xf>
    <xf numFmtId="0" fontId="22" fillId="0" borderId="11" xfId="0" applyFont="1" applyBorder="1" applyAlignment="1">
      <alignment vertical="center" wrapText="1"/>
    </xf>
    <xf numFmtId="0" fontId="21" fillId="0" borderId="11" xfId="0" applyFont="1" applyBorder="1" applyAlignment="1">
      <alignment vertical="center" wrapText="1"/>
    </xf>
    <xf numFmtId="164" fontId="21" fillId="0" borderId="11" xfId="73" applyNumberFormat="1" applyFont="1" applyBorder="1" applyAlignment="1" applyProtection="1">
      <alignment horizontal="right"/>
    </xf>
    <xf numFmtId="164" fontId="0" fillId="23" borderId="11" xfId="73" applyNumberFormat="1" applyFont="1" applyFill="1" applyBorder="1" applyAlignment="1" applyProtection="1"/>
    <xf numFmtId="0" fontId="21" fillId="0" borderId="11" xfId="0" applyFont="1" applyBorder="1"/>
    <xf numFmtId="164" fontId="21" fillId="0" borderId="11" xfId="73" applyNumberFormat="1" applyFont="1" applyBorder="1" applyAlignment="1" applyProtection="1"/>
    <xf numFmtId="0" fontId="0" fillId="0" borderId="12" xfId="0" applyFont="1" applyBorder="1"/>
    <xf numFmtId="164" fontId="0" fillId="0" borderId="11" xfId="73" applyNumberFormat="1" applyFont="1" applyBorder="1" applyAlignment="1" applyProtection="1"/>
    <xf numFmtId="0" fontId="0" fillId="0" borderId="11" xfId="0" applyFont="1" applyBorder="1"/>
    <xf numFmtId="0" fontId="0" fillId="0" borderId="0" xfId="0" applyFont="1" applyBorder="1" applyAlignment="1">
      <alignment vertical="center" wrapText="1"/>
    </xf>
    <xf numFmtId="0" fontId="23" fillId="0" borderId="0" xfId="33" applyFont="1" applyAlignment="1">
      <alignment vertical="center"/>
    </xf>
    <xf numFmtId="0" fontId="24" fillId="0" borderId="0" xfId="33" applyFont="1" applyAlignment="1">
      <alignment vertical="center"/>
    </xf>
    <xf numFmtId="0" fontId="25" fillId="24" borderId="0" xfId="33" applyFont="1" applyFill="1" applyAlignment="1">
      <alignment horizontal="center" vertical="center"/>
    </xf>
    <xf numFmtId="0" fontId="25" fillId="0" borderId="0" xfId="33" applyFont="1" applyAlignment="1">
      <alignment horizontal="center" vertical="center"/>
    </xf>
    <xf numFmtId="0" fontId="25" fillId="0" borderId="0" xfId="33" applyFont="1" applyAlignment="1">
      <alignment vertical="center"/>
    </xf>
    <xf numFmtId="0" fontId="26" fillId="24" borderId="0" xfId="33" applyFont="1" applyFill="1" applyAlignment="1">
      <alignment vertical="center"/>
    </xf>
    <xf numFmtId="14" fontId="26" fillId="24" borderId="0" xfId="33" applyNumberFormat="1" applyFont="1" applyFill="1" applyAlignment="1">
      <alignment vertical="center"/>
    </xf>
    <xf numFmtId="0" fontId="26" fillId="0" borderId="0" xfId="33" applyFont="1" applyAlignment="1">
      <alignment vertical="center"/>
    </xf>
    <xf numFmtId="14" fontId="26" fillId="24" borderId="0" xfId="33" applyNumberFormat="1" applyFont="1" applyFill="1" applyAlignment="1">
      <alignment horizontal="right" vertical="center"/>
    </xf>
    <xf numFmtId="0" fontId="26" fillId="24" borderId="0" xfId="33" applyFont="1" applyFill="1" applyAlignment="1">
      <alignment horizontal="right" vertical="center"/>
    </xf>
    <xf numFmtId="14" fontId="26" fillId="0" borderId="0" xfId="33" applyNumberFormat="1" applyFont="1" applyAlignment="1">
      <alignment vertical="center"/>
    </xf>
    <xf numFmtId="0" fontId="26" fillId="24" borderId="0" xfId="33" applyFont="1" applyFill="1" applyAlignment="1">
      <alignment horizontal="center" vertical="center"/>
    </xf>
    <xf numFmtId="0" fontId="25" fillId="0" borderId="0" xfId="33" applyFont="1" applyAlignment="1">
      <alignment vertical="center" wrapText="1"/>
    </xf>
    <xf numFmtId="0" fontId="26" fillId="0" borderId="0" xfId="33" applyFont="1" applyAlignment="1">
      <alignment vertical="center" wrapText="1"/>
    </xf>
    <xf numFmtId="0" fontId="26" fillId="24" borderId="0" xfId="33" applyFont="1" applyFill="1" applyAlignment="1">
      <alignment horizontal="right" vertical="center"/>
    </xf>
    <xf numFmtId="0" fontId="26" fillId="0" borderId="0" xfId="33" applyFont="1" applyAlignment="1">
      <alignment horizontal="left" vertical="center"/>
    </xf>
    <xf numFmtId="0" fontId="26" fillId="0" borderId="0" xfId="34" applyFont="1" applyAlignment="1">
      <alignment vertical="center"/>
    </xf>
    <xf numFmtId="0" fontId="26" fillId="24" borderId="0" xfId="33" applyFont="1" applyFill="1" applyAlignment="1">
      <alignment horizontal="left" vertical="center"/>
    </xf>
    <xf numFmtId="175" fontId="26" fillId="0" borderId="0" xfId="17" applyNumberFormat="1" applyFont="1" applyBorder="1" applyAlignment="1" applyProtection="1">
      <alignment vertical="center"/>
    </xf>
    <xf numFmtId="172" fontId="26" fillId="24" borderId="0" xfId="17" applyNumberFormat="1" applyFont="1" applyFill="1" applyBorder="1" applyAlignment="1" applyProtection="1">
      <alignment vertical="center"/>
    </xf>
    <xf numFmtId="172" fontId="25" fillId="0" borderId="0" xfId="33" applyNumberFormat="1" applyFont="1" applyAlignment="1">
      <alignment vertical="center"/>
    </xf>
    <xf numFmtId="175" fontId="25" fillId="24" borderId="0" xfId="17" applyNumberFormat="1" applyFont="1" applyFill="1" applyBorder="1" applyAlignment="1" applyProtection="1">
      <alignment vertical="center"/>
    </xf>
    <xf numFmtId="0" fontId="26" fillId="0" borderId="14" xfId="33" applyFont="1" applyBorder="1" applyAlignment="1">
      <alignment horizontal="center" vertical="center" wrapText="1"/>
    </xf>
    <xf numFmtId="0" fontId="26" fillId="0" borderId="15" xfId="33" applyFont="1" applyBorder="1" applyAlignment="1">
      <alignment horizontal="center" vertical="center" wrapText="1"/>
    </xf>
    <xf numFmtId="0" fontId="26" fillId="0" borderId="16" xfId="33" applyFont="1" applyBorder="1" applyAlignment="1">
      <alignment horizontal="center" vertical="center" wrapText="1"/>
    </xf>
    <xf numFmtId="0" fontId="26" fillId="0" borderId="17" xfId="33" applyFont="1" applyBorder="1" applyAlignment="1">
      <alignment horizontal="center" vertical="center" wrapText="1"/>
    </xf>
    <xf numFmtId="0" fontId="26" fillId="0" borderId="18" xfId="33" applyFont="1" applyBorder="1" applyAlignment="1">
      <alignment horizontal="center" vertical="center" wrapText="1"/>
    </xf>
    <xf numFmtId="176" fontId="26" fillId="0" borderId="19" xfId="33" applyNumberFormat="1" applyFont="1" applyBorder="1" applyAlignment="1">
      <alignment horizontal="center" vertical="center" wrapText="1"/>
    </xf>
    <xf numFmtId="0" fontId="25" fillId="0" borderId="19" xfId="33" applyFont="1" applyBorder="1" applyAlignment="1">
      <alignment horizontal="center" vertical="center"/>
    </xf>
    <xf numFmtId="172" fontId="25" fillId="24" borderId="19" xfId="17" applyNumberFormat="1" applyFont="1" applyFill="1" applyBorder="1" applyAlignment="1" applyProtection="1">
      <alignment horizontal="center" vertical="center"/>
    </xf>
    <xf numFmtId="175" fontId="25" fillId="24" borderId="19" xfId="17" applyNumberFormat="1" applyFont="1" applyFill="1" applyBorder="1" applyAlignment="1" applyProtection="1">
      <alignment horizontal="center" vertical="center"/>
    </xf>
    <xf numFmtId="177" fontId="25" fillId="24" borderId="19" xfId="17" applyNumberFormat="1" applyFont="1" applyFill="1" applyBorder="1" applyAlignment="1" applyProtection="1">
      <alignment horizontal="center" vertical="center"/>
    </xf>
    <xf numFmtId="175" fontId="25" fillId="0" borderId="19" xfId="17" applyNumberFormat="1" applyFont="1" applyBorder="1" applyAlignment="1" applyProtection="1">
      <alignment horizontal="center" vertical="center"/>
    </xf>
    <xf numFmtId="0" fontId="25" fillId="0" borderId="20" xfId="33" applyFont="1" applyBorder="1" applyAlignment="1">
      <alignment horizontal="center" vertical="center"/>
    </xf>
    <xf numFmtId="0" fontId="25" fillId="0" borderId="21" xfId="33" applyFont="1" applyBorder="1" applyAlignment="1">
      <alignment vertical="center"/>
    </xf>
    <xf numFmtId="164" fontId="25" fillId="24" borderId="11" xfId="24" applyFont="1" applyFill="1" applyBorder="1" applyAlignment="1" applyProtection="1"/>
    <xf numFmtId="178" fontId="25" fillId="0" borderId="21" xfId="33" applyNumberFormat="1" applyFont="1" applyBorder="1" applyAlignment="1">
      <alignment vertical="center"/>
    </xf>
    <xf numFmtId="178" fontId="25" fillId="0" borderId="21" xfId="33" applyNumberFormat="1" applyFont="1" applyBorder="1" applyAlignment="1">
      <alignment horizontal="right" vertical="center"/>
    </xf>
    <xf numFmtId="164" fontId="25" fillId="0" borderId="0" xfId="33" applyNumberFormat="1" applyFont="1" applyAlignment="1">
      <alignment vertical="center"/>
    </xf>
    <xf numFmtId="0" fontId="25" fillId="0" borderId="11" xfId="33" applyFont="1" applyBorder="1" applyAlignment="1">
      <alignment vertical="center"/>
    </xf>
    <xf numFmtId="178" fontId="25" fillId="0" borderId="0" xfId="33" applyNumberFormat="1" applyFont="1" applyAlignment="1">
      <alignment vertical="center"/>
    </xf>
    <xf numFmtId="2" fontId="25" fillId="0" borderId="0" xfId="33" applyNumberFormat="1" applyFont="1" applyAlignment="1">
      <alignment vertical="center"/>
    </xf>
    <xf numFmtId="178" fontId="25" fillId="0" borderId="11" xfId="33" applyNumberFormat="1" applyFont="1" applyBorder="1" applyAlignment="1">
      <alignment vertical="center"/>
    </xf>
    <xf numFmtId="178" fontId="25" fillId="0" borderId="11" xfId="33" applyNumberFormat="1" applyFont="1" applyBorder="1" applyAlignment="1">
      <alignment horizontal="right" vertical="center"/>
    </xf>
    <xf numFmtId="178" fontId="25" fillId="0" borderId="22" xfId="33" applyNumberFormat="1" applyFont="1" applyBorder="1" applyAlignment="1">
      <alignment vertical="center"/>
    </xf>
    <xf numFmtId="178" fontId="26" fillId="0" borderId="21" xfId="33" applyNumberFormat="1" applyFont="1" applyBorder="1" applyAlignment="1">
      <alignment horizontal="right" vertical="center"/>
    </xf>
    <xf numFmtId="178" fontId="26" fillId="0" borderId="0" xfId="33" applyNumberFormat="1" applyFont="1" applyAlignment="1">
      <alignment horizontal="right" vertical="center"/>
    </xf>
    <xf numFmtId="178" fontId="26" fillId="0" borderId="0" xfId="33" applyNumberFormat="1" applyFont="1" applyAlignment="1">
      <alignment vertical="center"/>
    </xf>
    <xf numFmtId="0" fontId="27" fillId="0" borderId="0" xfId="33" applyFont="1"/>
    <xf numFmtId="0" fontId="25" fillId="0" borderId="0" xfId="33" applyFont="1"/>
    <xf numFmtId="0" fontId="27" fillId="0" borderId="0" xfId="33" applyFont="1" applyAlignment="1">
      <alignment vertical="center"/>
    </xf>
    <xf numFmtId="167" fontId="25" fillId="0" borderId="0" xfId="32" applyFont="1" applyBorder="1" applyAlignment="1" applyProtection="1">
      <alignment vertical="center"/>
    </xf>
    <xf numFmtId="179" fontId="25" fillId="0" borderId="0" xfId="33" applyNumberFormat="1" applyFont="1" applyAlignment="1">
      <alignment vertical="center"/>
    </xf>
    <xf numFmtId="0" fontId="28" fillId="0" borderId="0" xfId="19" applyFont="1"/>
    <xf numFmtId="0" fontId="29" fillId="0" borderId="0" xfId="19" applyFont="1"/>
    <xf numFmtId="167" fontId="29" fillId="0" borderId="0" xfId="32" applyFont="1" applyBorder="1" applyAlignment="1" applyProtection="1"/>
    <xf numFmtId="0" fontId="25" fillId="24" borderId="0" xfId="33" applyFont="1" applyFill="1" applyAlignment="1">
      <alignment vertical="center"/>
    </xf>
    <xf numFmtId="0" fontId="25" fillId="24" borderId="0" xfId="33" applyFont="1" applyFill="1"/>
    <xf numFmtId="178" fontId="29" fillId="0" borderId="0" xfId="19" applyNumberFormat="1" applyFont="1"/>
    <xf numFmtId="0" fontId="30" fillId="23" borderId="23" xfId="20" applyFont="1" applyFill="1" applyBorder="1"/>
    <xf numFmtId="178" fontId="30" fillId="23" borderId="22" xfId="20" applyNumberFormat="1" applyFont="1" applyFill="1" applyBorder="1" applyProtection="1">
      <protection locked="0"/>
    </xf>
    <xf numFmtId="0" fontId="37" fillId="0" borderId="27" xfId="0" applyFont="1" applyBorder="1" applyAlignment="1">
      <alignment horizontal="center" vertical="top" wrapText="1"/>
    </xf>
    <xf numFmtId="0" fontId="37" fillId="0" borderId="26" xfId="0" applyFont="1" applyBorder="1" applyAlignment="1">
      <alignment horizontal="center" vertical="top" wrapText="1"/>
    </xf>
    <xf numFmtId="164" fontId="38" fillId="0" borderId="26" xfId="73" applyNumberFormat="1" applyFont="1" applyBorder="1" applyProtection="1"/>
    <xf numFmtId="164" fontId="38" fillId="0" borderId="28" xfId="73" applyNumberFormat="1" applyFont="1" applyBorder="1" applyProtection="1"/>
    <xf numFmtId="0" fontId="0" fillId="0" borderId="0" xfId="0" applyBorder="1"/>
    <xf numFmtId="14" fontId="0" fillId="0" borderId="0" xfId="0" applyNumberFormat="1" applyBorder="1"/>
    <xf numFmtId="0" fontId="0" fillId="0" borderId="0" xfId="0" applyFont="1" applyBorder="1" applyAlignment="1">
      <alignment wrapText="1"/>
    </xf>
    <xf numFmtId="164" fontId="7" fillId="0" borderId="0" xfId="73" applyNumberFormat="1" applyFont="1" applyBorder="1" applyProtection="1"/>
    <xf numFmtId="0" fontId="35" fillId="0" borderId="0" xfId="20" applyFont="1" applyBorder="1" applyAlignment="1">
      <alignment vertical="center" wrapText="1"/>
    </xf>
    <xf numFmtId="0" fontId="34" fillId="0" borderId="0" xfId="20" applyFont="1" applyBorder="1" applyAlignment="1">
      <alignment vertical="center" wrapText="1"/>
    </xf>
    <xf numFmtId="178" fontId="33" fillId="0" borderId="0" xfId="20" applyNumberFormat="1" applyFont="1" applyBorder="1" applyAlignment="1">
      <alignment horizontal="left" vertical="top" wrapText="1"/>
    </xf>
    <xf numFmtId="0" fontId="39" fillId="25" borderId="12" xfId="20" applyFont="1" applyFill="1" applyBorder="1" applyAlignment="1">
      <alignment horizontal="left" vertical="center" wrapText="1"/>
    </xf>
    <xf numFmtId="0" fontId="3" fillId="25" borderId="0" xfId="0" applyFont="1" applyFill="1" applyAlignment="1">
      <alignment wrapText="1"/>
    </xf>
    <xf numFmtId="180" fontId="3" fillId="25" borderId="0" xfId="0" applyNumberFormat="1" applyFont="1" applyFill="1" applyAlignment="1">
      <alignment wrapText="1"/>
    </xf>
    <xf numFmtId="0" fontId="0" fillId="0" borderId="0" xfId="0"/>
    <xf numFmtId="0" fontId="21" fillId="0" borderId="0" xfId="0" applyFont="1"/>
    <xf numFmtId="0" fontId="0" fillId="0" borderId="0" xfId="0" quotePrefix="1"/>
    <xf numFmtId="0" fontId="0" fillId="0" borderId="11" xfId="0" applyBorder="1"/>
    <xf numFmtId="0" fontId="21" fillId="26" borderId="11" xfId="0" applyFont="1" applyFill="1" applyBorder="1"/>
    <xf numFmtId="0" fontId="0" fillId="26" borderId="11" xfId="0" applyFill="1" applyBorder="1"/>
    <xf numFmtId="171" fontId="22" fillId="0" borderId="0" xfId="0" applyNumberFormat="1" applyFont="1"/>
    <xf numFmtId="172" fontId="7" fillId="0" borderId="0" xfId="1" applyNumberFormat="1"/>
    <xf numFmtId="0" fontId="41" fillId="0" borderId="0" xfId="0" applyFont="1"/>
    <xf numFmtId="0" fontId="42" fillId="0" borderId="0" xfId="0" applyFont="1"/>
    <xf numFmtId="0" fontId="42" fillId="27" borderId="11" xfId="0" applyFont="1" applyFill="1" applyBorder="1" applyAlignment="1">
      <alignment horizontal="center" vertical="center"/>
    </xf>
    <xf numFmtId="0" fontId="42" fillId="27" borderId="11" xfId="0" applyFont="1" applyFill="1" applyBorder="1" applyAlignment="1">
      <alignment vertical="center"/>
    </xf>
    <xf numFmtId="170" fontId="21" fillId="0" borderId="0" xfId="0" applyNumberFormat="1" applyFont="1"/>
    <xf numFmtId="169" fontId="0" fillId="0" borderId="29" xfId="0" applyNumberFormat="1" applyFont="1" applyBorder="1" applyAlignment="1">
      <alignment wrapText="1"/>
    </xf>
    <xf numFmtId="171" fontId="0" fillId="0" borderId="29" xfId="0" applyNumberFormat="1" applyBorder="1"/>
    <xf numFmtId="171" fontId="22" fillId="0" borderId="29" xfId="0" applyNumberFormat="1" applyFont="1" applyBorder="1"/>
    <xf numFmtId="0" fontId="20" fillId="0" borderId="29" xfId="0" applyFont="1" applyBorder="1"/>
    <xf numFmtId="0" fontId="42" fillId="28" borderId="11" xfId="0" applyFont="1" applyFill="1" applyBorder="1"/>
    <xf numFmtId="0" fontId="42" fillId="26" borderId="11" xfId="0" applyFont="1" applyFill="1" applyBorder="1" applyAlignment="1">
      <alignment vertical="center"/>
    </xf>
    <xf numFmtId="0" fontId="42" fillId="0" borderId="11" xfId="0" applyFont="1" applyFill="1" applyBorder="1" applyAlignment="1">
      <alignment horizontal="center" vertical="center"/>
    </xf>
    <xf numFmtId="0" fontId="42" fillId="0" borderId="11" xfId="0" applyFont="1" applyFill="1" applyBorder="1" applyAlignment="1">
      <alignment vertical="center"/>
    </xf>
    <xf numFmtId="0" fontId="43" fillId="29" borderId="11" xfId="0" applyFont="1" applyFill="1" applyBorder="1" applyAlignment="1">
      <alignment horizontal="center" vertical="center"/>
    </xf>
    <xf numFmtId="49" fontId="0" fillId="0" borderId="0" xfId="0" applyNumberFormat="1"/>
    <xf numFmtId="172" fontId="7" fillId="0" borderId="11" xfId="1" applyNumberFormat="1" applyBorder="1"/>
    <xf numFmtId="0" fontId="0" fillId="27" borderId="0" xfId="0" applyFill="1"/>
    <xf numFmtId="0" fontId="31" fillId="31" borderId="0" xfId="0" applyFont="1" applyFill="1" applyAlignment="1">
      <alignment horizontal="center" vertical="top"/>
    </xf>
    <xf numFmtId="0" fontId="31" fillId="31" borderId="0" xfId="0" applyFont="1" applyFill="1" applyAlignment="1">
      <alignment horizontal="center" vertical="top" wrapText="1"/>
    </xf>
    <xf numFmtId="165" fontId="7" fillId="0" borderId="0" xfId="1" quotePrefix="1"/>
    <xf numFmtId="168" fontId="40" fillId="0" borderId="11" xfId="73" applyBorder="1"/>
    <xf numFmtId="168" fontId="21" fillId="0" borderId="11" xfId="73" applyFont="1" applyBorder="1"/>
    <xf numFmtId="164" fontId="21" fillId="23" borderId="11" xfId="73" applyNumberFormat="1" applyFont="1" applyFill="1" applyBorder="1" applyAlignment="1" applyProtection="1"/>
    <xf numFmtId="181" fontId="0" fillId="0" borderId="11" xfId="0" applyNumberFormat="1" applyBorder="1"/>
    <xf numFmtId="181" fontId="40" fillId="0" borderId="11" xfId="73" applyNumberFormat="1" applyBorder="1"/>
    <xf numFmtId="172" fontId="38" fillId="0" borderId="11" xfId="1" applyNumberFormat="1" applyFont="1" applyBorder="1"/>
    <xf numFmtId="178" fontId="33" fillId="0" borderId="11" xfId="20" applyNumberFormat="1" applyFont="1" applyBorder="1" applyAlignment="1">
      <alignment horizontal="left" vertical="top" wrapText="1"/>
    </xf>
    <xf numFmtId="172" fontId="7" fillId="0" borderId="11" xfId="1" applyNumberFormat="1" applyBorder="1" applyProtection="1">
      <protection locked="0"/>
    </xf>
    <xf numFmtId="178" fontId="33" fillId="0" borderId="11" xfId="20" applyNumberFormat="1" applyFont="1" applyBorder="1" applyProtection="1">
      <protection locked="0"/>
    </xf>
    <xf numFmtId="172" fontId="33" fillId="0" borderId="11" xfId="1" applyNumberFormat="1" applyFont="1" applyBorder="1" applyAlignment="1" applyProtection="1">
      <protection locked="0"/>
    </xf>
    <xf numFmtId="0" fontId="32" fillId="0" borderId="21" xfId="20" applyFont="1" applyFill="1" applyBorder="1" applyAlignment="1">
      <alignment vertical="center"/>
    </xf>
    <xf numFmtId="178" fontId="30" fillId="0" borderId="10" xfId="20" applyNumberFormat="1" applyFont="1" applyFill="1" applyBorder="1"/>
    <xf numFmtId="172" fontId="36" fillId="0" borderId="25" xfId="20" applyNumberFormat="1" applyFont="1" applyFill="1" applyBorder="1" applyProtection="1">
      <protection locked="0"/>
    </xf>
    <xf numFmtId="0" fontId="0" fillId="0" borderId="0" xfId="0" applyFill="1"/>
    <xf numFmtId="165" fontId="38" fillId="0" borderId="10" xfId="1" applyFont="1" applyFill="1" applyBorder="1" applyProtection="1">
      <protection locked="0"/>
    </xf>
    <xf numFmtId="178" fontId="44" fillId="0" borderId="10" xfId="20" applyNumberFormat="1" applyFont="1" applyFill="1" applyBorder="1" applyProtection="1">
      <protection locked="0"/>
    </xf>
    <xf numFmtId="14" fontId="37" fillId="0" borderId="27" xfId="0" applyNumberFormat="1" applyFont="1" applyBorder="1" applyAlignment="1">
      <alignment horizontal="center" vertical="top" wrapText="1"/>
    </xf>
    <xf numFmtId="0" fontId="30" fillId="0" borderId="0" xfId="0" applyFont="1" applyBorder="1" applyAlignment="1">
      <alignment horizontal="left" vertical="top"/>
    </xf>
    <xf numFmtId="164" fontId="22" fillId="32" borderId="11" xfId="73" applyNumberFormat="1" applyFont="1" applyFill="1" applyBorder="1" applyAlignment="1" applyProtection="1">
      <alignment vertical="center" wrapText="1"/>
    </xf>
    <xf numFmtId="164" fontId="0" fillId="32" borderId="11" xfId="73" applyNumberFormat="1" applyFont="1" applyFill="1" applyBorder="1" applyAlignment="1" applyProtection="1">
      <alignment vertical="center" wrapText="1"/>
    </xf>
    <xf numFmtId="164" fontId="0" fillId="32" borderId="11" xfId="73" applyNumberFormat="1" applyFont="1" applyFill="1" applyBorder="1" applyAlignment="1" applyProtection="1"/>
    <xf numFmtId="164" fontId="21" fillId="0" borderId="11" xfId="73" applyNumberFormat="1" applyFont="1" applyFill="1" applyBorder="1" applyAlignment="1" applyProtection="1">
      <alignment horizontal="right"/>
    </xf>
    <xf numFmtId="168" fontId="40" fillId="0" borderId="0" xfId="73"/>
    <xf numFmtId="0" fontId="40" fillId="0" borderId="0" xfId="0" applyNumberFormat="1" applyFont="1" applyFill="1"/>
    <xf numFmtId="0" fontId="0" fillId="0" borderId="30" xfId="0" applyBorder="1" applyAlignment="1">
      <alignment horizontal="left"/>
    </xf>
    <xf numFmtId="0" fontId="0" fillId="0" borderId="24" xfId="0" applyBorder="1" applyAlignment="1">
      <alignment horizontal="left"/>
    </xf>
    <xf numFmtId="0" fontId="0" fillId="0" borderId="31" xfId="0" applyBorder="1" applyAlignment="1">
      <alignment horizontal="left"/>
    </xf>
    <xf numFmtId="0" fontId="21" fillId="0" borderId="0" xfId="0" applyFont="1" applyAlignment="1">
      <alignment horizontal="left" vertical="center" wrapText="1"/>
    </xf>
    <xf numFmtId="0" fontId="0" fillId="26" borderId="30" xfId="0" applyFill="1" applyBorder="1" applyAlignment="1">
      <alignment horizontal="left"/>
    </xf>
    <xf numFmtId="0" fontId="0" fillId="26" borderId="24" xfId="0" applyFill="1" applyBorder="1" applyAlignment="1">
      <alignment horizontal="left"/>
    </xf>
    <xf numFmtId="0" fontId="0" fillId="26" borderId="31" xfId="0" applyFill="1" applyBorder="1" applyAlignment="1">
      <alignment horizontal="left"/>
    </xf>
    <xf numFmtId="0" fontId="21" fillId="26" borderId="30" xfId="0" applyFont="1" applyFill="1" applyBorder="1" applyAlignment="1">
      <alignment horizontal="center"/>
    </xf>
    <xf numFmtId="0" fontId="21" fillId="26" borderId="24" xfId="0" applyFont="1" applyFill="1" applyBorder="1" applyAlignment="1">
      <alignment horizontal="center"/>
    </xf>
    <xf numFmtId="0" fontId="21" fillId="26" borderId="31" xfId="0" applyFont="1" applyFill="1" applyBorder="1" applyAlignment="1">
      <alignment horizontal="center"/>
    </xf>
    <xf numFmtId="0" fontId="0" fillId="0" borderId="30" xfId="0" applyBorder="1" applyAlignment="1">
      <alignment horizontal="left" wrapText="1"/>
    </xf>
    <xf numFmtId="0" fontId="0" fillId="0" borderId="24" xfId="0" applyBorder="1" applyAlignment="1">
      <alignment horizontal="left" wrapText="1"/>
    </xf>
    <xf numFmtId="0" fontId="0" fillId="0" borderId="31" xfId="0" applyBorder="1" applyAlignment="1">
      <alignment horizontal="left" wrapText="1"/>
    </xf>
    <xf numFmtId="0" fontId="0" fillId="0" borderId="11" xfId="0" applyBorder="1" applyAlignment="1">
      <alignment wrapText="1"/>
    </xf>
    <xf numFmtId="0" fontId="42" fillId="0" borderId="30" xfId="0" applyFont="1" applyFill="1" applyBorder="1" applyAlignment="1">
      <alignment horizontal="left" vertical="center" indent="2"/>
    </xf>
    <xf numFmtId="0" fontId="42" fillId="0" borderId="31" xfId="0" applyFont="1" applyFill="1" applyBorder="1" applyAlignment="1">
      <alignment horizontal="left" vertical="center" indent="2"/>
    </xf>
    <xf numFmtId="0" fontId="43" fillId="29" borderId="30" xfId="0" applyFont="1" applyFill="1" applyBorder="1" applyAlignment="1">
      <alignment horizontal="center" vertical="center"/>
    </xf>
    <xf numFmtId="0" fontId="43" fillId="29" borderId="31" xfId="0" applyFont="1" applyFill="1" applyBorder="1" applyAlignment="1">
      <alignment horizontal="center" vertical="center"/>
    </xf>
    <xf numFmtId="0" fontId="42" fillId="27" borderId="30" xfId="0" applyFont="1" applyFill="1" applyBorder="1" applyAlignment="1">
      <alignment horizontal="left" vertical="center" indent="2"/>
    </xf>
    <xf numFmtId="0" fontId="42" fillId="27" borderId="31" xfId="0" applyFont="1" applyFill="1" applyBorder="1" applyAlignment="1">
      <alignment horizontal="left" vertical="center" indent="2"/>
    </xf>
    <xf numFmtId="0" fontId="26" fillId="0" borderId="13" xfId="33" applyFont="1" applyBorder="1" applyAlignment="1">
      <alignment horizontal="center" vertical="center"/>
    </xf>
    <xf numFmtId="0" fontId="21" fillId="23" borderId="30" xfId="0" applyFont="1" applyFill="1" applyBorder="1" applyAlignment="1">
      <alignment horizontal="center"/>
    </xf>
    <xf numFmtId="0" fontId="21" fillId="23" borderId="31" xfId="0" applyFont="1" applyFill="1" applyBorder="1" applyAlignment="1">
      <alignment horizontal="center"/>
    </xf>
    <xf numFmtId="0" fontId="21" fillId="30" borderId="30" xfId="0" applyFont="1" applyFill="1" applyBorder="1"/>
    <xf numFmtId="0" fontId="21" fillId="30" borderId="24" xfId="0" applyFont="1" applyFill="1" applyBorder="1"/>
    <xf numFmtId="0" fontId="21" fillId="30" borderId="31" xfId="0" applyFont="1" applyFill="1" applyBorder="1"/>
    <xf numFmtId="0" fontId="0" fillId="0" borderId="10" xfId="0" applyBorder="1" applyAlignment="1">
      <alignment horizontal="center"/>
    </xf>
  </cellXfs>
  <cellStyles count="75">
    <cellStyle name="20 % - Akzent1" xfId="35"/>
    <cellStyle name="20 % - Akzent2" xfId="36"/>
    <cellStyle name="20 % - Akzent3" xfId="37"/>
    <cellStyle name="20 % - Akzent4" xfId="38"/>
    <cellStyle name="20 % - Akzent5" xfId="39"/>
    <cellStyle name="20 % - Akzent6" xfId="40"/>
    <cellStyle name="20% - Akzent1" xfId="41"/>
    <cellStyle name="20% - Akzent2" xfId="42"/>
    <cellStyle name="20% - Akzent3" xfId="43"/>
    <cellStyle name="20% - Akzent4" xfId="44"/>
    <cellStyle name="20% - Akzent5" xfId="45"/>
    <cellStyle name="20% - Akzent6" xfId="46"/>
    <cellStyle name="40 % - Akzent1" xfId="47"/>
    <cellStyle name="40 % - Akzent2" xfId="48"/>
    <cellStyle name="40 % - Akzent3" xfId="49"/>
    <cellStyle name="40 % - Akzent4" xfId="50"/>
    <cellStyle name="40 % - Akzent5" xfId="51"/>
    <cellStyle name="40 % - Akzent6" xfId="52"/>
    <cellStyle name="40% - Akzent1" xfId="53"/>
    <cellStyle name="40% - Akzent2" xfId="54"/>
    <cellStyle name="40% - Akzent3" xfId="55"/>
    <cellStyle name="40% - Akzent4" xfId="56"/>
    <cellStyle name="40% - Akzent5" xfId="57"/>
    <cellStyle name="40% - Akzent6" xfId="58"/>
    <cellStyle name="60 % - Akzent1" xfId="59"/>
    <cellStyle name="60 % - Akzent2" xfId="60"/>
    <cellStyle name="60 % - Akzent3" xfId="61"/>
    <cellStyle name="60 % - Akzent4" xfId="62"/>
    <cellStyle name="60 % - Akzent5" xfId="63"/>
    <cellStyle name="60 % - Akzent6" xfId="64"/>
    <cellStyle name="60% - Akzent1" xfId="65"/>
    <cellStyle name="60% - Akzent2" xfId="66"/>
    <cellStyle name="60% - Akzent3" xfId="67"/>
    <cellStyle name="60% - Akzent4" xfId="68"/>
    <cellStyle name="60% - Akzent5" xfId="69"/>
    <cellStyle name="60% - Akzent6" xfId="70"/>
    <cellStyle name="Akzent1 2" xfId="2"/>
    <cellStyle name="Akzent2 2" xfId="3"/>
    <cellStyle name="Akzent3 2" xfId="4"/>
    <cellStyle name="Akzent4 2" xfId="5"/>
    <cellStyle name="Akzent5 2" xfId="6"/>
    <cellStyle name="Akzent6 2" xfId="7"/>
    <cellStyle name="Ausgabe 2" xfId="8"/>
    <cellStyle name="Berechnung 2" xfId="9"/>
    <cellStyle name="Eingabe 2" xfId="10"/>
    <cellStyle name="Ergebnis 2" xfId="11"/>
    <cellStyle name="Erklärender Text 2" xfId="12"/>
    <cellStyle name="Euro" xfId="13"/>
    <cellStyle name="Euro_Ausgabenplan PWl ÜA 2012_2015" xfId="32"/>
    <cellStyle name="Gut 2" xfId="14"/>
    <cellStyle name="Neutral 2" xfId="15"/>
    <cellStyle name="Notiz 2" xfId="16"/>
    <cellStyle name="Prozent" xfId="1" builtinId="5"/>
    <cellStyle name="Prozent 2" xfId="17"/>
    <cellStyle name="Prozent 2 2" xfId="71"/>
    <cellStyle name="Prozent 3" xfId="72"/>
    <cellStyle name="Schlecht 2" xfId="18"/>
    <cellStyle name="Standard" xfId="0" builtinId="0"/>
    <cellStyle name="Standard 2" xfId="19"/>
    <cellStyle name="Standard 2 2" xfId="33"/>
    <cellStyle name="Standard 3" xfId="20"/>
    <cellStyle name="Standard 3 2" xfId="34"/>
    <cellStyle name="Standard 4" xfId="21"/>
    <cellStyle name="Standard 5" xfId="74"/>
    <cellStyle name="Überschrift 1 2" xfId="27"/>
    <cellStyle name="Überschrift 2 2" xfId="28"/>
    <cellStyle name="Überschrift 3 2" xfId="29"/>
    <cellStyle name="Überschrift 4 2" xfId="30"/>
    <cellStyle name="Überschrift 5" xfId="31"/>
    <cellStyle name="Verknüpfte Zelle 2" xfId="22"/>
    <cellStyle name="Währung" xfId="73" builtinId="4"/>
    <cellStyle name="Währung 2" xfId="24"/>
    <cellStyle name="Währung 3" xfId="25"/>
    <cellStyle name="Warnender Text 2" xfId="23"/>
    <cellStyle name="Zelle überprüfen 2" xfId="26"/>
  </cellStyles>
  <dxfs count="8">
    <dxf>
      <font>
        <sz val="11"/>
        <color rgb="FFC0C0C0"/>
        <name val="Calibri"/>
      </font>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dxf>
    <dxf>
      <numFmt numFmtId="19" formatCode="dd/mm/yyyy"/>
    </dxf>
    <dxf>
      <numFmt numFmtId="30" formatCode="@"/>
    </dxf>
    <dxf>
      <numFmt numFmtId="19" formatCode="dd/mm/yyyy"/>
    </dxf>
    <dxf>
      <font>
        <b/>
        <i val="0"/>
        <strike val="0"/>
        <condense val="0"/>
        <extend val="0"/>
        <outline val="0"/>
        <shadow val="0"/>
        <u val="none"/>
        <vertAlign val="baseline"/>
        <sz val="11"/>
        <color rgb="FF000000"/>
        <name val="Calibri"/>
        <scheme val="none"/>
      </font>
    </dxf>
  </dxfs>
  <tableStyles count="0" defaultTableStyle="TableStyleMedium2" defaultPivotStyle="PivotStyleLight16"/>
  <colors>
    <indexedColors>
      <rgbColor rgb="FF000000"/>
      <rgbColor rgb="FFFFFFFF"/>
      <rgbColor rgb="FFFF0000"/>
      <rgbColor rgb="FF92D050"/>
      <rgbColor rgb="FF0000FF"/>
      <rgbColor rgb="FFFFFF00"/>
      <rgbColor rgb="FFFF00FF"/>
      <rgbColor rgb="FF00FFFF"/>
      <rgbColor rgb="FF800000"/>
      <rgbColor rgb="FF008000"/>
      <rgbColor rgb="FF000080"/>
      <rgbColor rgb="FF5EB91E"/>
      <rgbColor rgb="FF800080"/>
      <rgbColor rgb="FF1FB714"/>
      <rgbColor rgb="FFC0C0C0"/>
      <rgbColor rgb="FF808080"/>
      <rgbColor rgb="FFE0C2CD"/>
      <rgbColor rgb="FFFFA6A6"/>
      <rgbColor rgb="FFFFFFCC"/>
      <rgbColor rgb="FFCCFFFF"/>
      <rgbColor rgb="FF660066"/>
      <rgbColor rgb="FFFF8080"/>
      <rgbColor rgb="FF0066CC"/>
      <rgbColor rgb="FFCCCCFF"/>
      <rgbColor rgb="FF000080"/>
      <rgbColor rgb="FFFF00FF"/>
      <rgbColor rgb="FFFFDE59"/>
      <rgbColor rgb="FF00FFFF"/>
      <rgbColor rgb="FFA7074B"/>
      <rgbColor rgb="FF800000"/>
      <rgbColor rgb="FF008080"/>
      <rgbColor rgb="FF0000FF"/>
      <rgbColor rgb="FF00CCFF"/>
      <rgbColor rgb="FFD7E4BD"/>
      <rgbColor rgb="FFCCFFCC"/>
      <rgbColor rgb="FFFFFF99"/>
      <rgbColor rgb="FF99CCFF"/>
      <rgbColor rgb="FFFF99CC"/>
      <rgbColor rgb="FFCC99FF"/>
      <rgbColor rgb="FFFFCC99"/>
      <rgbColor rgb="FF3366FF"/>
      <rgbColor rgb="FF33CCCC"/>
      <rgbColor rgb="FF99CC00"/>
      <rgbColor rgb="FFFFCC00"/>
      <rgbColor rgb="FFFF9900"/>
      <rgbColor rgb="FFFF6600"/>
      <rgbColor rgb="FF5983B0"/>
      <rgbColor rgb="FF969696"/>
      <rgbColor rgb="FF003366"/>
      <rgbColor rgb="FF339966"/>
      <rgbColor rgb="FF003300"/>
      <rgbColor rgb="FF383D3C"/>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C7-4071-8399-AA1CCDAA21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C7-4071-8399-AA1CCDAA21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C7-4071-8399-AA1CCDAA21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C7-4071-8399-AA1CCDAA216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C7-4071-8399-AA1CCDAA216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C7-4071-8399-AA1CCDAA2161}"/>
              </c:ext>
            </c:extLst>
          </c:dPt>
          <c:cat>
            <c:strRef>
              <c:f>Teilnahmeliste!$K$2:$K$7</c:f>
              <c:strCache>
                <c:ptCount val="5"/>
                <c:pt idx="0">
                  <c:v>Halle</c:v>
                </c:pt>
                <c:pt idx="1">
                  <c:v>Düsseldorf</c:v>
                </c:pt>
                <c:pt idx="2">
                  <c:v>Stuttgart</c:v>
                </c:pt>
                <c:pt idx="3">
                  <c:v>Leipzig</c:v>
                </c:pt>
                <c:pt idx="4">
                  <c:v>München</c:v>
                </c:pt>
              </c:strCache>
            </c:strRef>
          </c:cat>
          <c:val>
            <c:numRef>
              <c:f>Teilnahmeliste!$L$2:$L$7</c:f>
              <c:numCache>
                <c:formatCode>General</c:formatCode>
                <c:ptCount val="6"/>
                <c:pt idx="0">
                  <c:v>5</c:v>
                </c:pt>
                <c:pt idx="1">
                  <c:v>3</c:v>
                </c:pt>
                <c:pt idx="2">
                  <c:v>2</c:v>
                </c:pt>
                <c:pt idx="3">
                  <c:v>2</c:v>
                </c:pt>
                <c:pt idx="4">
                  <c:v>1</c:v>
                </c:pt>
              </c:numCache>
            </c:numRef>
          </c:val>
          <c:extLst>
            <c:ext xmlns:c16="http://schemas.microsoft.com/office/drawing/2014/chart" uri="{C3380CC4-5D6E-409C-BE32-E72D297353CC}">
              <c16:uniqueId val="{00000000-3833-4BDB-9F55-F4EEAE6BF3E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548640</xdr:colOff>
      <xdr:row>6</xdr:row>
      <xdr:rowOff>144780</xdr:rowOff>
    </xdr:from>
    <xdr:to>
      <xdr:col>10</xdr:col>
      <xdr:colOff>624840</xdr:colOff>
      <xdr:row>8</xdr:row>
      <xdr:rowOff>53340</xdr:rowOff>
    </xdr:to>
    <xdr:sp macro="" textlink="">
      <xdr:nvSpPr>
        <xdr:cNvPr id="2" name="Textfeld 1">
          <a:extLst>
            <a:ext uri="{FF2B5EF4-FFF2-40B4-BE49-F238E27FC236}">
              <a16:creationId xmlns:a16="http://schemas.microsoft.com/office/drawing/2014/main" id="{AA906411-6899-440F-A25D-7ECB0D4774AB}"/>
            </a:ext>
          </a:extLst>
        </xdr:cNvPr>
        <xdr:cNvSpPr txBox="1"/>
      </xdr:nvSpPr>
      <xdr:spPr>
        <a:xfrm>
          <a:off x="10949940" y="1424940"/>
          <a:ext cx="868680" cy="274320"/>
        </a:xfrm>
        <a:prstGeom prst="rect">
          <a:avLst/>
        </a:prstGeom>
        <a:solidFill>
          <a:schemeClr val="lt1"/>
        </a:solidFill>
        <a:ln w="12700" cmpd="sng">
          <a:solidFill>
            <a:schemeClr val="accent1">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Argument 1</a:t>
          </a:r>
        </a:p>
      </xdr:txBody>
    </xdr:sp>
    <xdr:clientData/>
  </xdr:twoCellAnchor>
  <xdr:twoCellAnchor>
    <xdr:from>
      <xdr:col>11</xdr:col>
      <xdr:colOff>0</xdr:colOff>
      <xdr:row>6</xdr:row>
      <xdr:rowOff>137160</xdr:rowOff>
    </xdr:from>
    <xdr:to>
      <xdr:col>12</xdr:col>
      <xdr:colOff>76200</xdr:colOff>
      <xdr:row>8</xdr:row>
      <xdr:rowOff>45720</xdr:rowOff>
    </xdr:to>
    <xdr:sp macro="" textlink="">
      <xdr:nvSpPr>
        <xdr:cNvPr id="3" name="Textfeld 2">
          <a:extLst>
            <a:ext uri="{FF2B5EF4-FFF2-40B4-BE49-F238E27FC236}">
              <a16:creationId xmlns:a16="http://schemas.microsoft.com/office/drawing/2014/main" id="{C77B71B5-7F77-441E-8C5E-366B4CA0EFAB}"/>
            </a:ext>
          </a:extLst>
        </xdr:cNvPr>
        <xdr:cNvSpPr txBox="1"/>
      </xdr:nvSpPr>
      <xdr:spPr>
        <a:xfrm>
          <a:off x="11986260" y="1417320"/>
          <a:ext cx="868680" cy="274320"/>
        </a:xfrm>
        <a:prstGeom prst="rect">
          <a:avLst/>
        </a:prstGeom>
        <a:solidFill>
          <a:schemeClr val="lt1"/>
        </a:solidFill>
        <a:ln w="12700" cmpd="sng">
          <a:solidFill>
            <a:schemeClr val="accent1">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Argument 2</a:t>
          </a:r>
        </a:p>
      </xdr:txBody>
    </xdr:sp>
    <xdr:clientData/>
  </xdr:twoCellAnchor>
  <xdr:twoCellAnchor>
    <xdr:from>
      <xdr:col>10</xdr:col>
      <xdr:colOff>190500</xdr:colOff>
      <xdr:row>6</xdr:row>
      <xdr:rowOff>0</xdr:rowOff>
    </xdr:from>
    <xdr:to>
      <xdr:col>10</xdr:col>
      <xdr:colOff>259080</xdr:colOff>
      <xdr:row>6</xdr:row>
      <xdr:rowOff>144780</xdr:rowOff>
    </xdr:to>
    <xdr:cxnSp macro="">
      <xdr:nvCxnSpPr>
        <xdr:cNvPr id="5" name="Gerade Verbindung mit Pfeil 4">
          <a:extLst>
            <a:ext uri="{FF2B5EF4-FFF2-40B4-BE49-F238E27FC236}">
              <a16:creationId xmlns:a16="http://schemas.microsoft.com/office/drawing/2014/main" id="{5D4BE7CC-53E0-44AE-8F59-D4078BC95DB2}"/>
            </a:ext>
          </a:extLst>
        </xdr:cNvPr>
        <xdr:cNvCxnSpPr>
          <a:stCxn id="2" idx="0"/>
        </xdr:cNvCxnSpPr>
      </xdr:nvCxnSpPr>
      <xdr:spPr>
        <a:xfrm flipV="1">
          <a:off x="11384280" y="1280160"/>
          <a:ext cx="68580" cy="144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678180</xdr:colOff>
      <xdr:row>6</xdr:row>
      <xdr:rowOff>7620</xdr:rowOff>
    </xdr:from>
    <xdr:to>
      <xdr:col>11</xdr:col>
      <xdr:colOff>99060</xdr:colOff>
      <xdr:row>6</xdr:row>
      <xdr:rowOff>137160</xdr:rowOff>
    </xdr:to>
    <xdr:cxnSp macro="">
      <xdr:nvCxnSpPr>
        <xdr:cNvPr id="7" name="Gerade Verbindung mit Pfeil 6">
          <a:extLst>
            <a:ext uri="{FF2B5EF4-FFF2-40B4-BE49-F238E27FC236}">
              <a16:creationId xmlns:a16="http://schemas.microsoft.com/office/drawing/2014/main" id="{29AFE1AD-6E01-4137-ADFB-34914890AF0E}"/>
            </a:ext>
          </a:extLst>
        </xdr:cNvPr>
        <xdr:cNvCxnSpPr/>
      </xdr:nvCxnSpPr>
      <xdr:spPr>
        <a:xfrm flipH="1" flipV="1">
          <a:off x="11871960" y="1287780"/>
          <a:ext cx="213360" cy="1295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171450</xdr:rowOff>
    </xdr:from>
    <xdr:to>
      <xdr:col>18</xdr:col>
      <xdr:colOff>609600</xdr:colOff>
      <xdr:row>15</xdr:row>
      <xdr:rowOff>171450</xdr:rowOff>
    </xdr:to>
    <xdr:graphicFrame macro="">
      <xdr:nvGraphicFramePr>
        <xdr:cNvPr id="4" name="Diagramm 3">
          <a:extLst>
            <a:ext uri="{FF2B5EF4-FFF2-40B4-BE49-F238E27FC236}">
              <a16:creationId xmlns:a16="http://schemas.microsoft.com/office/drawing/2014/main" id="{1A4D55B0-DEAE-4DCA-9541-3E7BF3C547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iraum.internal\Zeidler\Users\barbara\My%20Documents\barbara\Kurse%20ORF\EXCEL%202%20Oktober%202013\EXCEL%20ORF%202_Allgemein%20und%20Formeln_%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chdaten/Beispiele/Fragebogenauswertu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eiraum.internal\Zeidler\Users\barbara\My%20Documents\barbara\kurse%20eigen%20fremdefirmen\WIFI\energieagentur%20Kurs%203_basic\7_weitere%20formel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reiraum.internal\Zeidler\Users\barbara\My%20Documents\barbara\kurse%20eigen%20fremdefirmen\WIEN%20HOLDING\EU%20F&#246;rderagentur\listen%20f&#252;r%20SchulungsteilnehmerInnen\EXCEL%201_Wien%20Holding_EU%20F&#246;rderagentu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UA\excel\allgemein%20Rechnungen%20und%20Formeln%20%20Excel%20Aufbau.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reiraum.internal\Zeidler\Users\barbara\My%20Documents\barbara\kurse%20eigen%20fremdefirmen\WIFI\energieagentur%20Kurs%202\1_filtern_sortieren_bedingte%20Formatier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chnungen"/>
      <sheetName val="Aufbau Kalkulation"/>
      <sheetName val="Tastenbefehle"/>
      <sheetName val="Funktionstasten"/>
      <sheetName val="relativ_absolut"/>
      <sheetName val="allgemeines zu Formeln"/>
      <sheetName val="Erstellen einfacher Formeln"/>
      <sheetName val="Fehlerwerte"/>
      <sheetName val="Formeldedektiv"/>
      <sheetName val="Anzahl; SummeWenn und CO"/>
      <sheetName val="mit Namen rechnen"/>
      <sheetName val="WennDann"/>
      <sheetName val="benutzerdefinierte Zahlenwerte"/>
      <sheetName val="Datums_Zeitwerte"/>
      <sheetName val="S_Verweis"/>
      <sheetName val="Glätten und CO"/>
      <sheetName val="Runden"/>
      <sheetName val="Texte verketten"/>
      <sheetName val="Logische Formeln"/>
      <sheetName val="Datenbankfunktionen"/>
      <sheetName val="Arbeitsblattfunktionen"/>
      <sheetName val="Referenzfunktionen"/>
      <sheetName val="Daten für Diagramme"/>
      <sheetName val="WennFehler und CO"/>
      <sheetName val="Weiteres"/>
      <sheetName val="ONLINE Hilfe"/>
    </sheetNames>
    <sheetDataSet>
      <sheetData sheetId="0"/>
      <sheetData sheetId="1"/>
      <sheetData sheetId="2"/>
      <sheetData sheetId="3"/>
      <sheetData sheetId="4"/>
      <sheetData sheetId="5"/>
      <sheetData sheetId="6"/>
      <sheetData sheetId="7"/>
      <sheetData sheetId="8"/>
      <sheetData sheetId="9"/>
      <sheetData sheetId="10">
        <row r="5">
          <cell r="B5">
            <v>4</v>
          </cell>
        </row>
        <row r="142">
          <cell r="B142">
            <v>1200</v>
          </cell>
          <cell r="C142">
            <v>1300</v>
          </cell>
          <cell r="D142">
            <v>2300</v>
          </cell>
        </row>
        <row r="143">
          <cell r="B143">
            <v>2000</v>
          </cell>
        </row>
        <row r="144">
          <cell r="B144">
            <v>3200</v>
          </cell>
        </row>
      </sheetData>
      <sheetData sheetId="11">
        <row r="228">
          <cell r="J228">
            <v>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gebogen"/>
      <sheetName val="Fragebogenauswertung"/>
      <sheetName val="Tabelle2"/>
      <sheetName val="Tabelle3"/>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chnungen"/>
      <sheetName val="Aufbau Kalkulation"/>
      <sheetName val="Tastenbefehle"/>
      <sheetName val="Funktionstasten"/>
      <sheetName val="allgemeines zu Formeln"/>
      <sheetName val="Grundlagen Funktionen"/>
      <sheetName val="Grundlagen Funktionen 2"/>
      <sheetName val="Erstellen einfacher Formeln"/>
      <sheetName val="Verschachtelte Funktionen"/>
      <sheetName val="Fehlerwerte"/>
      <sheetName val="weitere Infos zu Namen"/>
      <sheetName val="Oder_Und"/>
      <sheetName val="Anzahl; SummeWenn und CO"/>
      <sheetName val="Summe_Produkt_WENN_WENNS"/>
      <sheetName val="WennDann"/>
      <sheetName val="S_Verweis"/>
      <sheetName val="Verweis"/>
      <sheetName val="Wennfehler_Zählenwenn(s)"/>
      <sheetName val="WennFehler und CO"/>
      <sheetName val="Länge_Links_Rechts_Code"/>
      <sheetName val="Glätten und CO"/>
      <sheetName val="Runden"/>
      <sheetName val="Texte verketten"/>
      <sheetName val="Wahl"/>
      <sheetName val="Index"/>
      <sheetName val="Index und Vergleich"/>
      <sheetName val="Mittelwert_Median_Modal"/>
      <sheetName val="Teilergebnis"/>
      <sheetName val="Varianz_Standardabweichung"/>
      <sheetName val="BEREICH_VERSCHIEBEN"/>
      <sheetName val="Datumswerte_1"/>
      <sheetName val="Datums_Zeitwerte"/>
      <sheetName val="Kalenderwoche"/>
      <sheetName val="Nettoarbeitstage"/>
      <sheetName val="dynamischer Kalender"/>
      <sheetName val="dynamischer Kalender 2"/>
      <sheetName val="dynamischer Kalender Version 2"/>
      <sheetName val="Kalender"/>
      <sheetName val="Zelle"/>
      <sheetName val="MARTIX"/>
      <sheetName val="weitere Infos zu Matrix"/>
      <sheetName val="Weiteres"/>
      <sheetName val="Arrayformeln und Dynamische "/>
      <sheetName val="Logische Formeln"/>
      <sheetName val="Textfunktionen"/>
      <sheetName val="Datenbankfunktionen"/>
      <sheetName val="Referenzfunktionen"/>
      <sheetName val="Nachschlagfunktionen"/>
      <sheetName val="Arbeitsblattfunktionen"/>
      <sheetName val="Liste aller Funktionen"/>
      <sheetName val="Formeln Englisch_Deutsch"/>
      <sheetName val="LINKS"/>
      <sheetName val="Tabel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4">
          <cell r="A64">
            <v>1</v>
          </cell>
          <cell r="B64">
            <v>4</v>
          </cell>
          <cell r="C64">
            <v>7</v>
          </cell>
        </row>
        <row r="65">
          <cell r="A65">
            <v>2</v>
          </cell>
          <cell r="B65">
            <v>5</v>
          </cell>
          <cell r="C65">
            <v>8</v>
          </cell>
        </row>
        <row r="66">
          <cell r="A66">
            <v>3</v>
          </cell>
          <cell r="B66">
            <v>6</v>
          </cell>
          <cell r="C66">
            <v>9</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chnungen"/>
      <sheetName val="Aufbau Kalkulation"/>
      <sheetName val="Tastenbefehle"/>
      <sheetName val="Funktionstasten"/>
      <sheetName val="relativ_absolut"/>
      <sheetName val="allgemeines zu Formeln"/>
      <sheetName val="Erstellen einfacher Formeln"/>
      <sheetName val="Summenformel und co"/>
      <sheetName val="Übungen"/>
      <sheetName val="Fehlerwerte"/>
      <sheetName val="Anzahl; SummeWenn und CO"/>
      <sheetName val="Texte verketten"/>
      <sheetName val="Glätten und CO"/>
      <sheetName val="Runden"/>
      <sheetName val="Logische Formeln"/>
      <sheetName val="mit Namen rechnen"/>
      <sheetName val="weitere Infos zu Namen"/>
      <sheetName val="WennDann"/>
      <sheetName val="benutzerdefinierte Zahlenwerte"/>
      <sheetName val="Gliederungen"/>
      <sheetName val="Gliederung 2"/>
      <sheetName val="Gliederung 3"/>
      <sheetName val="Text in Spalten"/>
      <sheetName val="duplikate entfernen"/>
      <sheetName val="transponieren"/>
      <sheetName val="Zellschutz"/>
      <sheetName val="Sparkline"/>
      <sheetName val="daten für diagramme"/>
      <sheetName val="zielwertsuche"/>
      <sheetName val="zielwertsuche 2"/>
      <sheetName val="Solver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B5">
            <v>4</v>
          </cell>
        </row>
        <row r="6">
          <cell r="B6">
            <v>5</v>
          </cell>
        </row>
        <row r="7">
          <cell r="B7">
            <v>6</v>
          </cell>
        </row>
        <row r="8">
          <cell r="B8">
            <v>3</v>
          </cell>
        </row>
        <row r="9">
          <cell r="B9">
            <v>7</v>
          </cell>
        </row>
        <row r="10">
          <cell r="B10">
            <v>2</v>
          </cell>
        </row>
        <row r="11">
          <cell r="B11">
            <v>8</v>
          </cell>
        </row>
        <row r="12">
          <cell r="B12">
            <v>4</v>
          </cell>
        </row>
        <row r="13">
          <cell r="B13">
            <v>5</v>
          </cell>
        </row>
        <row r="14">
          <cell r="B14">
            <v>4</v>
          </cell>
        </row>
        <row r="15">
          <cell r="B15">
            <v>4</v>
          </cell>
        </row>
        <row r="16">
          <cell r="B16">
            <v>7</v>
          </cell>
        </row>
        <row r="17">
          <cell r="B17">
            <v>8</v>
          </cell>
        </row>
        <row r="18">
          <cell r="B18">
            <v>9</v>
          </cell>
        </row>
        <row r="19">
          <cell r="B19">
            <v>11</v>
          </cell>
        </row>
        <row r="20">
          <cell r="B20">
            <v>2</v>
          </cell>
        </row>
        <row r="21">
          <cell r="B21">
            <v>3</v>
          </cell>
        </row>
        <row r="22">
          <cell r="B22">
            <v>1</v>
          </cell>
        </row>
        <row r="23">
          <cell r="B23">
            <v>5</v>
          </cell>
        </row>
        <row r="24">
          <cell r="B24">
            <v>4</v>
          </cell>
        </row>
        <row r="25">
          <cell r="B25">
            <v>7</v>
          </cell>
        </row>
        <row r="26">
          <cell r="B26">
            <v>6</v>
          </cell>
        </row>
        <row r="27">
          <cell r="B27">
            <v>5</v>
          </cell>
        </row>
        <row r="28">
          <cell r="B28">
            <v>9</v>
          </cell>
        </row>
        <row r="29">
          <cell r="B29">
            <v>9</v>
          </cell>
        </row>
        <row r="30">
          <cell r="B30">
            <v>8</v>
          </cell>
        </row>
        <row r="31">
          <cell r="B31">
            <v>1</v>
          </cell>
        </row>
        <row r="32">
          <cell r="B32">
            <v>8</v>
          </cell>
        </row>
        <row r="33">
          <cell r="B33">
            <v>7</v>
          </cell>
        </row>
        <row r="34">
          <cell r="B34">
            <v>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bau Kalkulationen"/>
      <sheetName val="Tastenbefehle uä"/>
      <sheetName val="Autoausfüllen"/>
      <sheetName val="Sortierung und Prüfung"/>
      <sheetName val="Speichern und Schutz"/>
      <sheetName val="Berechnungen"/>
      <sheetName val="allgemeine rechnungen"/>
      <sheetName val="allgemeines zu Formeln"/>
      <sheetName val="Funktionen eingeben"/>
      <sheetName val="Fehlerwerte"/>
      <sheetName val="absolute Bezüge"/>
      <sheetName val="mit Namen"/>
      <sheetName val="summewenns und HILFE"/>
      <sheetName val="wenndann"/>
      <sheetName val="benutzerdefin.Zahlenwerte"/>
      <sheetName val="Datum und Uhrzeit"/>
      <sheetName val="Matrix"/>
      <sheetName val="Anzahl;SummeWenn und Co"/>
      <sheetName val="SVERWEISE"/>
      <sheetName val="Index und Vergleiche"/>
      <sheetName val="Glätten und Co"/>
      <sheetName val="Runden"/>
      <sheetName val="texte verketten"/>
      <sheetName val="logische Formeln"/>
      <sheetName val="Der Detektiv"/>
      <sheetName val="finanzmathematische Funktionen"/>
      <sheetName val="Informationsfunktionen"/>
      <sheetName val="Nachschlage_Verweisfunktionen"/>
      <sheetName val="Mathematische Funktionen"/>
      <sheetName val="Statistische Funktionen"/>
      <sheetName val="Textfunktionen"/>
      <sheetName val="Gliederungen"/>
      <sheetName val="Gliederungen 2"/>
      <sheetName val="Gliederung 3"/>
      <sheetName val="Formatvorlagen 1"/>
      <sheetName val="Formatvorlage 2"/>
      <sheetName val="Formatvorlage 3"/>
      <sheetName val="pivottabellen"/>
      <sheetName val="konsolidieren"/>
      <sheetName val="was wäre wenn"/>
    </sheetNames>
    <sheetDataSet>
      <sheetData sheetId="0"/>
      <sheetData sheetId="1"/>
      <sheetData sheetId="2"/>
      <sheetData sheetId="3"/>
      <sheetData sheetId="4"/>
      <sheetData sheetId="5"/>
      <sheetData sheetId="6"/>
      <sheetData sheetId="7"/>
      <sheetData sheetId="8"/>
      <sheetData sheetId="9"/>
      <sheetData sheetId="10"/>
      <sheetData sheetId="11">
        <row r="73">
          <cell r="A73">
            <v>0.2</v>
          </cell>
        </row>
      </sheetData>
      <sheetData sheetId="12"/>
      <sheetData sheetId="13"/>
      <sheetData sheetId="14"/>
      <sheetData sheetId="15"/>
      <sheetData sheetId="16"/>
      <sheetData sheetId="17"/>
      <sheetData sheetId="18"/>
      <sheetData sheetId="19">
        <row r="6">
          <cell r="H6">
            <v>0</v>
          </cell>
        </row>
        <row r="7">
          <cell r="H7">
            <v>0</v>
          </cell>
        </row>
        <row r="8">
          <cell r="H8">
            <v>0</v>
          </cell>
        </row>
        <row r="9">
          <cell r="H9">
            <v>0</v>
          </cell>
        </row>
        <row r="10">
          <cell r="H10">
            <v>0</v>
          </cell>
        </row>
        <row r="11">
          <cell r="H11">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usfüllen_tabellenformate"/>
      <sheetName val="trendberechnung"/>
      <sheetName val="filtern_sortieren"/>
      <sheetName val="Spezialfilter"/>
      <sheetName val="Spezialfilter 2"/>
      <sheetName val="zellformatvorlagen"/>
      <sheetName val="bedingte Formatierung 1"/>
      <sheetName val="bedingte Formatierung 2"/>
      <sheetName val="bedingte Formatierung 3"/>
      <sheetName val="mit Namen rechnen"/>
      <sheetName val="mit Namen rechnen 2"/>
      <sheetName val="benutzerdefinierte Zahlenwerte"/>
      <sheetName val="Gliederung 1"/>
      <sheetName val="Gliederung 2"/>
      <sheetName val="Gliederung und TE"/>
      <sheetName val="autogliederung"/>
    </sheetNames>
    <sheetDataSet>
      <sheetData sheetId="0"/>
      <sheetData sheetId="1"/>
      <sheetData sheetId="2"/>
      <sheetData sheetId="3"/>
      <sheetData sheetId="4"/>
      <sheetData sheetId="5"/>
      <sheetData sheetId="6"/>
      <sheetData sheetId="7"/>
      <sheetData sheetId="8"/>
      <sheetData sheetId="9">
        <row r="115">
          <cell r="A115">
            <v>9</v>
          </cell>
        </row>
      </sheetData>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1" name="Tabelle1" displayName="Tabelle1" ref="A1:I15" totalsRowCount="1" headerRowDxfId="7">
  <autoFilter ref="A1:I14"/>
  <tableColumns count="9">
    <tableColumn id="1" name="Name" totalsRowLabel="Ergebnis"/>
    <tableColumn id="2" name="Vorname"/>
    <tableColumn id="3" name="Geburts-datum" dataDxfId="6"/>
    <tableColumn id="4" name="Straße/HN"/>
    <tableColumn id="5" name="PLZ" dataDxfId="5"/>
    <tableColumn id="6" name="Ort"/>
    <tableColumn id="7" name="Anmeld.Datum" dataDxfId="4"/>
    <tableColumn id="8" name="TN-Beitrag" totalsRowFunction="custom" totalsRowDxfId="3" dataCellStyle="Währung">
      <totalsRowFormula>SUBTOTAL(9,Tabelle1[TN-Beitrag])</totalsRowFormula>
    </tableColumn>
    <tableColumn id="9" name="reduzierter Beitrag" totalsRowFunction="count"/>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983B0"/>
  </sheetPr>
  <dimension ref="A1:M44"/>
  <sheetViews>
    <sheetView tabSelected="1" zoomScaleNormal="100" zoomScalePageLayoutView="120" workbookViewId="0">
      <selection activeCell="Q26" sqref="Q26"/>
    </sheetView>
  </sheetViews>
  <sheetFormatPr baseColWidth="10" defaultColWidth="11.5703125" defaultRowHeight="15"/>
  <cols>
    <col min="1" max="1" width="24" customWidth="1"/>
    <col min="2" max="2" width="14.7109375" customWidth="1"/>
    <col min="4" max="7" width="19.5703125" customWidth="1"/>
  </cols>
  <sheetData>
    <row r="1" spans="1:13">
      <c r="A1" s="1" t="s">
        <v>241</v>
      </c>
      <c r="D1" s="1"/>
    </row>
    <row r="3" spans="1:13" ht="30">
      <c r="A3" s="1" t="s">
        <v>0</v>
      </c>
      <c r="B3" s="1" t="s">
        <v>1</v>
      </c>
      <c r="C3" s="1" t="s">
        <v>2</v>
      </c>
      <c r="D3" s="2" t="s">
        <v>224</v>
      </c>
      <c r="E3" s="2" t="s">
        <v>225</v>
      </c>
      <c r="F3" s="2" t="s">
        <v>273</v>
      </c>
      <c r="G3" s="1" t="s">
        <v>274</v>
      </c>
    </row>
    <row r="4" spans="1:13">
      <c r="A4" t="s">
        <v>3</v>
      </c>
      <c r="B4">
        <v>100</v>
      </c>
      <c r="C4">
        <v>20</v>
      </c>
      <c r="D4" s="109" t="s">
        <v>227</v>
      </c>
      <c r="E4" s="109" t="s">
        <v>229</v>
      </c>
      <c r="F4" s="109" t="s">
        <v>230</v>
      </c>
      <c r="G4" s="109" t="s">
        <v>231</v>
      </c>
      <c r="J4" s="162" t="s">
        <v>292</v>
      </c>
      <c r="K4" s="162"/>
      <c r="L4" s="162"/>
      <c r="M4" s="162"/>
    </row>
    <row r="5" spans="1:13">
      <c r="A5" t="s">
        <v>4</v>
      </c>
      <c r="B5">
        <v>100</v>
      </c>
      <c r="C5">
        <v>20</v>
      </c>
      <c r="D5" s="109" t="s">
        <v>226</v>
      </c>
      <c r="E5" s="109" t="s">
        <v>228</v>
      </c>
      <c r="F5" s="3" t="s">
        <v>232</v>
      </c>
      <c r="G5" s="3"/>
      <c r="J5" s="162"/>
      <c r="K5" s="162"/>
      <c r="L5" s="162"/>
      <c r="M5" s="162"/>
    </row>
    <row r="6" spans="1:13">
      <c r="A6" t="s">
        <v>5</v>
      </c>
      <c r="B6">
        <v>100</v>
      </c>
      <c r="C6">
        <v>20</v>
      </c>
      <c r="D6" s="109" t="s">
        <v>233</v>
      </c>
      <c r="E6" s="109" t="s">
        <v>234</v>
      </c>
      <c r="F6" s="109" t="s">
        <v>235</v>
      </c>
      <c r="G6" s="109" t="s">
        <v>237</v>
      </c>
      <c r="J6" s="162"/>
      <c r="K6" s="162"/>
      <c r="L6" s="162"/>
      <c r="M6" s="162"/>
    </row>
    <row r="7" spans="1:13">
      <c r="A7" t="s">
        <v>6</v>
      </c>
      <c r="B7">
        <v>100</v>
      </c>
      <c r="C7">
        <v>20</v>
      </c>
      <c r="D7" s="109" t="s">
        <v>293</v>
      </c>
      <c r="E7" s="109" t="s">
        <v>294</v>
      </c>
      <c r="F7" s="107" t="s">
        <v>232</v>
      </c>
      <c r="G7" s="3"/>
      <c r="J7" s="162"/>
      <c r="K7" s="162"/>
      <c r="L7" s="162"/>
      <c r="M7" s="162"/>
    </row>
    <row r="10" spans="1:13">
      <c r="A10" s="108" t="s">
        <v>236</v>
      </c>
    </row>
    <row r="11" spans="1:13">
      <c r="A11" t="s">
        <v>197</v>
      </c>
      <c r="B11" t="s">
        <v>165</v>
      </c>
      <c r="C11">
        <f>7.1+0.9</f>
        <v>8</v>
      </c>
    </row>
    <row r="12" spans="1:13">
      <c r="A12" t="s">
        <v>269</v>
      </c>
      <c r="B12" t="s">
        <v>166</v>
      </c>
      <c r="C12">
        <f>12.7-4.7</f>
        <v>7.9999999999999991</v>
      </c>
    </row>
    <row r="13" spans="1:13">
      <c r="A13" t="s">
        <v>194</v>
      </c>
      <c r="B13" t="s">
        <v>167</v>
      </c>
      <c r="C13">
        <f>16/2</f>
        <v>8</v>
      </c>
    </row>
    <row r="14" spans="1:13">
      <c r="A14" t="s">
        <v>191</v>
      </c>
      <c r="B14" t="s">
        <v>168</v>
      </c>
      <c r="C14">
        <f>4*2</f>
        <v>8</v>
      </c>
    </row>
    <row r="15" spans="1:13">
      <c r="A15" t="s">
        <v>270</v>
      </c>
      <c r="B15" t="s">
        <v>169</v>
      </c>
      <c r="C15">
        <f>8%</f>
        <v>0.08</v>
      </c>
    </row>
    <row r="16" spans="1:13">
      <c r="A16" t="s">
        <v>271</v>
      </c>
      <c r="B16" t="s">
        <v>170</v>
      </c>
      <c r="C16">
        <f>2^3</f>
        <v>8</v>
      </c>
    </row>
    <row r="19" spans="1:8">
      <c r="A19" s="108" t="s">
        <v>238</v>
      </c>
    </row>
    <row r="20" spans="1:8">
      <c r="A20" s="111" t="s">
        <v>171</v>
      </c>
      <c r="B20" s="111" t="s">
        <v>164</v>
      </c>
      <c r="C20" s="111"/>
      <c r="D20" s="166" t="s">
        <v>172</v>
      </c>
      <c r="E20" s="167"/>
      <c r="F20" s="167"/>
      <c r="G20" s="168"/>
      <c r="H20" s="111" t="s">
        <v>173</v>
      </c>
    </row>
    <row r="21" spans="1:8">
      <c r="A21" s="112" t="s">
        <v>174</v>
      </c>
      <c r="B21" s="112"/>
      <c r="C21" s="112"/>
      <c r="D21" s="163"/>
      <c r="E21" s="164"/>
      <c r="F21" s="164"/>
      <c r="G21" s="165"/>
      <c r="H21" s="112"/>
    </row>
    <row r="22" spans="1:8">
      <c r="A22" s="110" t="s">
        <v>175</v>
      </c>
      <c r="B22" s="110" t="s">
        <v>176</v>
      </c>
      <c r="C22" s="110"/>
      <c r="D22" s="159" t="s">
        <v>177</v>
      </c>
      <c r="E22" s="160"/>
      <c r="F22" s="160"/>
      <c r="G22" s="161"/>
      <c r="H22" s="110">
        <v>1</v>
      </c>
    </row>
    <row r="23" spans="1:8">
      <c r="A23" s="110" t="s">
        <v>178</v>
      </c>
      <c r="B23" s="110" t="s">
        <v>179</v>
      </c>
      <c r="C23" s="110"/>
      <c r="D23" s="159" t="s">
        <v>180</v>
      </c>
      <c r="E23" s="160"/>
      <c r="F23" s="160"/>
      <c r="G23" s="161"/>
      <c r="H23" s="110">
        <v>2</v>
      </c>
    </row>
    <row r="24" spans="1:8" ht="29.45" customHeight="1">
      <c r="A24" s="110" t="s">
        <v>181</v>
      </c>
      <c r="B24" s="110" t="s">
        <v>182</v>
      </c>
      <c r="C24" s="110"/>
      <c r="D24" s="169" t="s">
        <v>239</v>
      </c>
      <c r="E24" s="170"/>
      <c r="F24" s="170"/>
      <c r="G24" s="171"/>
      <c r="H24" s="110">
        <v>3</v>
      </c>
    </row>
    <row r="25" spans="1:8">
      <c r="A25" s="112" t="s">
        <v>183</v>
      </c>
      <c r="B25" s="112"/>
      <c r="C25" s="112"/>
      <c r="D25" s="163"/>
      <c r="E25" s="164"/>
      <c r="F25" s="164"/>
      <c r="G25" s="165"/>
      <c r="H25" s="112"/>
    </row>
    <row r="26" spans="1:8">
      <c r="A26" s="110" t="s">
        <v>166</v>
      </c>
      <c r="B26" s="110" t="s">
        <v>184</v>
      </c>
      <c r="C26" s="110"/>
      <c r="D26" s="159" t="s">
        <v>185</v>
      </c>
      <c r="E26" s="160"/>
      <c r="F26" s="160"/>
      <c r="G26" s="161"/>
      <c r="H26" s="110">
        <v>4</v>
      </c>
    </row>
    <row r="27" spans="1:8">
      <c r="A27" s="110" t="s">
        <v>169</v>
      </c>
      <c r="B27" s="110" t="s">
        <v>186</v>
      </c>
      <c r="C27" s="110"/>
      <c r="D27" s="159" t="s">
        <v>187</v>
      </c>
      <c r="E27" s="160"/>
      <c r="F27" s="160"/>
      <c r="G27" s="161"/>
      <c r="H27" s="110">
        <v>5</v>
      </c>
    </row>
    <row r="28" spans="1:8">
      <c r="A28" s="110" t="s">
        <v>170</v>
      </c>
      <c r="B28" s="110" t="s">
        <v>188</v>
      </c>
      <c r="C28" s="110"/>
      <c r="D28" s="159" t="s">
        <v>189</v>
      </c>
      <c r="E28" s="160"/>
      <c r="F28" s="160"/>
      <c r="G28" s="161"/>
      <c r="H28" s="110">
        <v>6</v>
      </c>
    </row>
    <row r="29" spans="1:8">
      <c r="A29" s="110" t="s">
        <v>168</v>
      </c>
      <c r="B29" s="110" t="s">
        <v>190</v>
      </c>
      <c r="C29" s="110"/>
      <c r="D29" s="159" t="s">
        <v>191</v>
      </c>
      <c r="E29" s="160"/>
      <c r="F29" s="160"/>
      <c r="G29" s="161"/>
      <c r="H29" s="110">
        <v>7</v>
      </c>
    </row>
    <row r="30" spans="1:8">
      <c r="A30" s="110" t="s">
        <v>192</v>
      </c>
      <c r="B30" s="110" t="s">
        <v>193</v>
      </c>
      <c r="C30" s="110"/>
      <c r="D30" s="159" t="s">
        <v>194</v>
      </c>
      <c r="E30" s="160"/>
      <c r="F30" s="160"/>
      <c r="G30" s="161"/>
      <c r="H30" s="110">
        <v>7</v>
      </c>
    </row>
    <row r="31" spans="1:8">
      <c r="A31" s="110" t="s">
        <v>195</v>
      </c>
      <c r="B31" s="110" t="s">
        <v>196</v>
      </c>
      <c r="C31" s="110"/>
      <c r="D31" s="159" t="s">
        <v>197</v>
      </c>
      <c r="E31" s="160"/>
      <c r="F31" s="160"/>
      <c r="G31" s="161"/>
      <c r="H31" s="110">
        <v>8</v>
      </c>
    </row>
    <row r="32" spans="1:8">
      <c r="A32" s="110" t="s">
        <v>198</v>
      </c>
      <c r="B32" s="110" t="s">
        <v>199</v>
      </c>
      <c r="C32" s="110"/>
      <c r="D32" s="159" t="s">
        <v>200</v>
      </c>
      <c r="E32" s="160"/>
      <c r="F32" s="160"/>
      <c r="G32" s="161"/>
      <c r="H32" s="110">
        <v>8</v>
      </c>
    </row>
    <row r="33" spans="1:8">
      <c r="A33" s="112" t="s">
        <v>201</v>
      </c>
      <c r="B33" s="112"/>
      <c r="C33" s="112"/>
      <c r="D33" s="163"/>
      <c r="E33" s="164"/>
      <c r="F33" s="164"/>
      <c r="G33" s="165"/>
      <c r="H33" s="112"/>
    </row>
    <row r="34" spans="1:8">
      <c r="A34" s="110" t="s">
        <v>202</v>
      </c>
      <c r="B34" s="110" t="s">
        <v>203</v>
      </c>
      <c r="C34" s="110"/>
      <c r="D34" s="159" t="s">
        <v>204</v>
      </c>
      <c r="E34" s="160"/>
      <c r="F34" s="160"/>
      <c r="G34" s="161"/>
      <c r="H34" s="110">
        <v>9</v>
      </c>
    </row>
    <row r="35" spans="1:8">
      <c r="A35" s="112" t="s">
        <v>205</v>
      </c>
      <c r="B35" s="112"/>
      <c r="C35" s="112"/>
      <c r="D35" s="163"/>
      <c r="E35" s="164"/>
      <c r="F35" s="164"/>
      <c r="G35" s="165"/>
      <c r="H35" s="112"/>
    </row>
    <row r="36" spans="1:8">
      <c r="A36" s="110" t="s">
        <v>206</v>
      </c>
      <c r="B36" s="110" t="s">
        <v>207</v>
      </c>
      <c r="C36" s="110"/>
      <c r="D36" s="159" t="s">
        <v>208</v>
      </c>
      <c r="E36" s="160"/>
      <c r="F36" s="160"/>
      <c r="G36" s="161"/>
      <c r="H36" s="110">
        <v>10</v>
      </c>
    </row>
    <row r="37" spans="1:8">
      <c r="A37" s="110" t="s">
        <v>209</v>
      </c>
      <c r="B37" s="110" t="s">
        <v>210</v>
      </c>
      <c r="C37" s="110"/>
      <c r="D37" s="159" t="s">
        <v>211</v>
      </c>
      <c r="E37" s="160"/>
      <c r="F37" s="160"/>
      <c r="G37" s="161"/>
      <c r="H37" s="110">
        <v>10</v>
      </c>
    </row>
    <row r="38" spans="1:8">
      <c r="A38" s="110" t="s">
        <v>212</v>
      </c>
      <c r="B38" s="110" t="s">
        <v>213</v>
      </c>
      <c r="C38" s="110"/>
      <c r="D38" s="159" t="s">
        <v>214</v>
      </c>
      <c r="E38" s="160"/>
      <c r="F38" s="160"/>
      <c r="G38" s="161"/>
      <c r="H38" s="110">
        <v>10</v>
      </c>
    </row>
    <row r="39" spans="1:8">
      <c r="A39" s="110" t="s">
        <v>215</v>
      </c>
      <c r="B39" s="110" t="s">
        <v>216</v>
      </c>
      <c r="C39" s="110"/>
      <c r="D39" s="159" t="s">
        <v>217</v>
      </c>
      <c r="E39" s="160"/>
      <c r="F39" s="160"/>
      <c r="G39" s="161"/>
      <c r="H39" s="110">
        <v>10</v>
      </c>
    </row>
    <row r="40" spans="1:8">
      <c r="A40" s="110" t="s">
        <v>218</v>
      </c>
      <c r="B40" s="110" t="s">
        <v>219</v>
      </c>
      <c r="C40" s="110"/>
      <c r="D40" s="159" t="s">
        <v>220</v>
      </c>
      <c r="E40" s="160"/>
      <c r="F40" s="160"/>
      <c r="G40" s="161"/>
      <c r="H40" s="110">
        <v>10</v>
      </c>
    </row>
    <row r="41" spans="1:8">
      <c r="A41" s="110" t="s">
        <v>221</v>
      </c>
      <c r="B41" s="110" t="s">
        <v>222</v>
      </c>
      <c r="C41" s="110"/>
      <c r="D41" s="159" t="s">
        <v>223</v>
      </c>
      <c r="E41" s="160"/>
      <c r="F41" s="160"/>
      <c r="G41" s="161"/>
      <c r="H41" s="110">
        <v>10</v>
      </c>
    </row>
    <row r="44" spans="1:8" ht="310.14999999999998" customHeight="1">
      <c r="A44" s="172" t="s">
        <v>240</v>
      </c>
      <c r="B44" s="172"/>
      <c r="C44" s="172"/>
      <c r="D44" s="172"/>
      <c r="E44" s="172"/>
      <c r="F44" s="172"/>
      <c r="G44" s="172"/>
      <c r="H44" s="172"/>
    </row>
  </sheetData>
  <mergeCells count="24">
    <mergeCell ref="D38:G38"/>
    <mergeCell ref="D39:G39"/>
    <mergeCell ref="D40:G40"/>
    <mergeCell ref="D41:G41"/>
    <mergeCell ref="A44:H44"/>
    <mergeCell ref="J4:M7"/>
    <mergeCell ref="D32:G32"/>
    <mergeCell ref="D33:G33"/>
    <mergeCell ref="D34:G34"/>
    <mergeCell ref="D35:G35"/>
    <mergeCell ref="D20:G20"/>
    <mergeCell ref="D22:G22"/>
    <mergeCell ref="D23:G23"/>
    <mergeCell ref="D24:G24"/>
    <mergeCell ref="D21:G21"/>
    <mergeCell ref="D25:G25"/>
    <mergeCell ref="D36:G36"/>
    <mergeCell ref="D37:G37"/>
    <mergeCell ref="D26:G26"/>
    <mergeCell ref="D27:G27"/>
    <mergeCell ref="D28:G28"/>
    <mergeCell ref="D29:G29"/>
    <mergeCell ref="D30:G30"/>
    <mergeCell ref="D31:G31"/>
  </mergeCells>
  <pageMargins left="0.78749999999999998" right="0.78749999999999998" top="1.2194444444444399" bottom="1.05277777777778" header="0.78749999999999998" footer="0.78749999999999998"/>
  <pageSetup paperSize="9" scale="87" orientation="portrait" horizontalDpi="300" verticalDpi="300"/>
  <headerFooter>
    <oddHeader>&amp;L&amp;"Times New Roman,Standard"&amp;12&amp;KffffffAdresse Antragsteller</oddHeader>
    <oddFooter>&amp;C&amp;"Times New Roman,Standard"&amp;12&amp;KffffffSeite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EB91E"/>
  </sheetPr>
  <dimension ref="A1:E11"/>
  <sheetViews>
    <sheetView zoomScaleNormal="100" zoomScalePageLayoutView="120" workbookViewId="0">
      <selection activeCell="C8" sqref="C8"/>
    </sheetView>
  </sheetViews>
  <sheetFormatPr baseColWidth="10" defaultColWidth="11.5703125" defaultRowHeight="15"/>
  <cols>
    <col min="1" max="1" width="34.42578125" customWidth="1"/>
    <col min="2" max="2" width="14.42578125" customWidth="1"/>
  </cols>
  <sheetData>
    <row r="1" spans="1:5">
      <c r="A1" s="4"/>
      <c r="B1" s="119" t="s">
        <v>7</v>
      </c>
      <c r="C1" s="108" t="s">
        <v>8</v>
      </c>
      <c r="D1" s="108" t="s">
        <v>9</v>
      </c>
    </row>
    <row r="2" spans="1:5">
      <c r="A2" s="4" t="s">
        <v>242</v>
      </c>
      <c r="B2" s="6">
        <v>150</v>
      </c>
      <c r="C2" s="113">
        <f>B2/100*7</f>
        <v>10.5</v>
      </c>
      <c r="D2" s="7"/>
    </row>
    <row r="3" spans="1:5">
      <c r="A3" s="4"/>
      <c r="B3" s="6">
        <v>150</v>
      </c>
      <c r="C3" s="113">
        <f>B3*7%</f>
        <v>10.500000000000002</v>
      </c>
      <c r="D3" s="8"/>
    </row>
    <row r="4" spans="1:5" ht="30">
      <c r="A4" s="9" t="s">
        <v>10</v>
      </c>
      <c r="B4" s="6">
        <v>150</v>
      </c>
      <c r="C4" s="113">
        <f>B4/107*7</f>
        <v>9.8130841121495322</v>
      </c>
      <c r="D4" s="7"/>
      <c r="E4" s="114"/>
    </row>
    <row r="5" spans="1:5" s="107" customFormat="1" ht="30.75" thickBot="1">
      <c r="A5" s="120" t="s">
        <v>272</v>
      </c>
      <c r="B5" s="121">
        <v>150</v>
      </c>
      <c r="C5" s="122">
        <f>B5/1.07</f>
        <v>140.18691588785046</v>
      </c>
      <c r="D5" s="123"/>
      <c r="E5" s="114"/>
    </row>
    <row r="6" spans="1:5" ht="30">
      <c r="A6" s="9" t="s">
        <v>11</v>
      </c>
      <c r="B6" s="6"/>
      <c r="C6" s="8"/>
      <c r="D6" s="10"/>
    </row>
    <row r="7" spans="1:5" ht="45">
      <c r="A7" s="11" t="s">
        <v>12</v>
      </c>
      <c r="B7" s="5"/>
      <c r="C7" s="7"/>
      <c r="D7" s="10"/>
    </row>
    <row r="8" spans="1:5">
      <c r="A8" s="4" t="s">
        <v>13</v>
      </c>
      <c r="B8" s="134" t="s">
        <v>295</v>
      </c>
    </row>
    <row r="9" spans="1:5">
      <c r="A9" s="4"/>
      <c r="B9" s="5"/>
    </row>
    <row r="11" spans="1:5">
      <c r="A11" s="4" t="s">
        <v>14</v>
      </c>
    </row>
  </sheetData>
  <pageMargins left="0.78749999999999998" right="0.78749999999999998" top="1.2194444444444399" bottom="1.05277777777778" header="0.78749999999999998" footer="0.78749999999999998"/>
  <pageSetup paperSize="9" scale="87" orientation="portrait" horizontalDpi="300" verticalDpi="300"/>
  <headerFooter>
    <oddHeader>&amp;L&amp;"Times New Roman,Standard"&amp;12&amp;KffffffAdresse Antragsteller</oddHeader>
    <oddFooter>&amp;C&amp;"Times New Roman,Standard"&amp;12&amp;KffffffSeite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6A6"/>
  </sheetPr>
  <dimension ref="A1:L45"/>
  <sheetViews>
    <sheetView zoomScaleNormal="100" zoomScalePageLayoutView="120" workbookViewId="0">
      <selection activeCell="F2" sqref="F2:F14"/>
    </sheetView>
  </sheetViews>
  <sheetFormatPr baseColWidth="10" defaultColWidth="11.5703125" defaultRowHeight="15"/>
  <cols>
    <col min="3" max="3" width="15.7109375" customWidth="1"/>
    <col min="4" max="4" width="23.28515625" customWidth="1"/>
    <col min="7" max="7" width="15.7109375" customWidth="1"/>
    <col min="8" max="8" width="11.7109375" customWidth="1"/>
    <col min="9" max="9" width="18.28515625" customWidth="1"/>
  </cols>
  <sheetData>
    <row r="1" spans="1:12">
      <c r="A1" s="108" t="s">
        <v>15</v>
      </c>
      <c r="B1" s="108" t="s">
        <v>16</v>
      </c>
      <c r="C1" s="108" t="s">
        <v>17</v>
      </c>
      <c r="D1" s="108" t="s">
        <v>18</v>
      </c>
      <c r="E1" s="108" t="s">
        <v>19</v>
      </c>
      <c r="F1" s="108" t="s">
        <v>20</v>
      </c>
      <c r="G1" s="108" t="s">
        <v>21</v>
      </c>
      <c r="H1" s="108" t="s">
        <v>22</v>
      </c>
      <c r="I1" s="108" t="s">
        <v>23</v>
      </c>
      <c r="K1" s="108" t="s">
        <v>20</v>
      </c>
    </row>
    <row r="2" spans="1:12">
      <c r="A2" t="s">
        <v>39</v>
      </c>
      <c r="B2" t="s">
        <v>40</v>
      </c>
      <c r="C2" s="12">
        <v>30115</v>
      </c>
      <c r="D2" t="s">
        <v>41</v>
      </c>
      <c r="E2" s="129">
        <v>82345</v>
      </c>
      <c r="F2" t="s">
        <v>42</v>
      </c>
      <c r="G2" s="12">
        <v>45726</v>
      </c>
      <c r="H2" s="157">
        <v>50</v>
      </c>
      <c r="K2" t="s">
        <v>27</v>
      </c>
      <c r="L2">
        <f>COUNTIF($F$2:$F$14,K2)</f>
        <v>5</v>
      </c>
    </row>
    <row r="3" spans="1:12">
      <c r="A3" t="s">
        <v>35</v>
      </c>
      <c r="B3" t="s">
        <v>36</v>
      </c>
      <c r="C3" s="12">
        <v>29810</v>
      </c>
      <c r="D3" t="s">
        <v>37</v>
      </c>
      <c r="E3" s="129">
        <v>13465</v>
      </c>
      <c r="F3" t="s">
        <v>38</v>
      </c>
      <c r="G3" s="12">
        <v>45728</v>
      </c>
      <c r="H3" s="157">
        <v>40</v>
      </c>
      <c r="I3" t="s">
        <v>28</v>
      </c>
      <c r="K3" s="107" t="s">
        <v>38</v>
      </c>
      <c r="L3" s="107">
        <f t="shared" ref="L3:L6" si="0">COUNTIF($F$2:$F$14,K3)</f>
        <v>3</v>
      </c>
    </row>
    <row r="4" spans="1:12">
      <c r="A4" t="s">
        <v>50</v>
      </c>
      <c r="B4" t="s">
        <v>51</v>
      </c>
      <c r="C4" s="12">
        <v>33776</v>
      </c>
      <c r="D4" t="s">
        <v>52</v>
      </c>
      <c r="E4" s="129" t="s">
        <v>279</v>
      </c>
      <c r="F4" t="s">
        <v>27</v>
      </c>
      <c r="G4" s="12">
        <v>45728</v>
      </c>
      <c r="H4" s="157">
        <v>50</v>
      </c>
      <c r="K4" s="107" t="s">
        <v>42</v>
      </c>
      <c r="L4" s="107">
        <f t="shared" si="0"/>
        <v>2</v>
      </c>
    </row>
    <row r="5" spans="1:12">
      <c r="A5" t="s">
        <v>55</v>
      </c>
      <c r="B5" t="s">
        <v>56</v>
      </c>
      <c r="C5" s="12">
        <v>28195</v>
      </c>
      <c r="D5" t="s">
        <v>57</v>
      </c>
      <c r="E5" s="129">
        <v>13998</v>
      </c>
      <c r="F5" t="s">
        <v>38</v>
      </c>
      <c r="G5" s="12">
        <v>45728</v>
      </c>
      <c r="H5" s="157">
        <v>50</v>
      </c>
      <c r="K5" s="107" t="s">
        <v>49</v>
      </c>
      <c r="L5" s="107">
        <f t="shared" si="0"/>
        <v>2</v>
      </c>
    </row>
    <row r="6" spans="1:12">
      <c r="A6" t="s">
        <v>46</v>
      </c>
      <c r="B6" t="s">
        <v>66</v>
      </c>
      <c r="C6" s="12">
        <v>27926</v>
      </c>
      <c r="D6" t="s">
        <v>67</v>
      </c>
      <c r="E6" s="129" t="s">
        <v>275</v>
      </c>
      <c r="F6" t="s">
        <v>27</v>
      </c>
      <c r="G6" s="12">
        <v>45728</v>
      </c>
      <c r="H6" s="157">
        <v>40</v>
      </c>
      <c r="I6" t="s">
        <v>28</v>
      </c>
      <c r="K6" s="107" t="s">
        <v>61</v>
      </c>
      <c r="L6" s="107">
        <f t="shared" si="0"/>
        <v>1</v>
      </c>
    </row>
    <row r="7" spans="1:12">
      <c r="A7" t="s">
        <v>29</v>
      </c>
      <c r="B7" t="s">
        <v>30</v>
      </c>
      <c r="C7" s="12">
        <v>25034</v>
      </c>
      <c r="D7" t="s">
        <v>31</v>
      </c>
      <c r="E7" s="129" t="s">
        <v>276</v>
      </c>
      <c r="F7" t="s">
        <v>27</v>
      </c>
      <c r="G7" s="12">
        <v>45730</v>
      </c>
      <c r="H7" s="157">
        <v>50</v>
      </c>
      <c r="K7" s="107"/>
      <c r="L7" s="107"/>
    </row>
    <row r="8" spans="1:12">
      <c r="A8" t="s">
        <v>32</v>
      </c>
      <c r="B8" t="s">
        <v>33</v>
      </c>
      <c r="C8" s="12">
        <v>27111</v>
      </c>
      <c r="D8" t="s">
        <v>34</v>
      </c>
      <c r="E8" s="129" t="s">
        <v>277</v>
      </c>
      <c r="F8" t="s">
        <v>27</v>
      </c>
      <c r="G8" s="12">
        <v>45733</v>
      </c>
      <c r="H8" s="157">
        <v>50</v>
      </c>
    </row>
    <row r="9" spans="1:12">
      <c r="A9" t="s">
        <v>43</v>
      </c>
      <c r="B9" t="s">
        <v>44</v>
      </c>
      <c r="C9" s="12">
        <v>33689</v>
      </c>
      <c r="D9" t="s">
        <v>45</v>
      </c>
      <c r="E9" s="129">
        <v>13987</v>
      </c>
      <c r="F9" t="s">
        <v>38</v>
      </c>
      <c r="G9" s="12">
        <v>45733</v>
      </c>
      <c r="H9" s="157">
        <v>40</v>
      </c>
      <c r="I9" t="s">
        <v>28</v>
      </c>
    </row>
    <row r="10" spans="1:12">
      <c r="A10" t="s">
        <v>53</v>
      </c>
      <c r="B10" t="s">
        <v>36</v>
      </c>
      <c r="C10" s="12">
        <v>26950</v>
      </c>
      <c r="D10" t="s">
        <v>54</v>
      </c>
      <c r="E10" s="129">
        <v>82345</v>
      </c>
      <c r="F10" t="s">
        <v>42</v>
      </c>
      <c r="G10" s="12">
        <v>45733</v>
      </c>
      <c r="H10" s="157">
        <v>50</v>
      </c>
    </row>
    <row r="11" spans="1:12">
      <c r="A11" t="s">
        <v>24</v>
      </c>
      <c r="B11" t="s">
        <v>25</v>
      </c>
      <c r="C11" s="12">
        <v>27619</v>
      </c>
      <c r="D11" t="s">
        <v>26</v>
      </c>
      <c r="E11" s="129" t="s">
        <v>275</v>
      </c>
      <c r="F11" t="s">
        <v>27</v>
      </c>
      <c r="G11" s="12">
        <v>45734</v>
      </c>
      <c r="H11" s="157">
        <v>40</v>
      </c>
      <c r="I11" t="s">
        <v>28</v>
      </c>
    </row>
    <row r="12" spans="1:12">
      <c r="A12" t="s">
        <v>46</v>
      </c>
      <c r="B12" t="s">
        <v>47</v>
      </c>
      <c r="C12" s="12">
        <v>29204</v>
      </c>
      <c r="D12" t="s">
        <v>48</v>
      </c>
      <c r="E12" s="129" t="s">
        <v>278</v>
      </c>
      <c r="F12" t="s">
        <v>49</v>
      </c>
      <c r="G12" s="12">
        <v>45734</v>
      </c>
      <c r="H12" s="157">
        <v>40</v>
      </c>
      <c r="I12" t="s">
        <v>28</v>
      </c>
    </row>
    <row r="13" spans="1:12">
      <c r="A13" t="s">
        <v>58</v>
      </c>
      <c r="B13" t="s">
        <v>59</v>
      </c>
      <c r="C13" s="12">
        <v>21116</v>
      </c>
      <c r="D13" t="s">
        <v>60</v>
      </c>
      <c r="E13" s="129">
        <v>64345</v>
      </c>
      <c r="F13" t="s">
        <v>61</v>
      </c>
      <c r="G13" s="12">
        <v>45734</v>
      </c>
      <c r="H13" s="157">
        <v>40</v>
      </c>
      <c r="I13" t="s">
        <v>28</v>
      </c>
    </row>
    <row r="14" spans="1:12">
      <c r="A14" t="s">
        <v>62</v>
      </c>
      <c r="B14" t="s">
        <v>63</v>
      </c>
      <c r="C14" s="12">
        <v>24487</v>
      </c>
      <c r="D14" t="s">
        <v>64</v>
      </c>
      <c r="E14" s="129" t="s">
        <v>280</v>
      </c>
      <c r="F14" t="s">
        <v>49</v>
      </c>
      <c r="G14" s="107" t="s">
        <v>65</v>
      </c>
      <c r="H14" s="157">
        <v>50</v>
      </c>
    </row>
    <row r="15" spans="1:12">
      <c r="A15" s="107" t="s">
        <v>297</v>
      </c>
      <c r="B15" s="107"/>
      <c r="D15" s="107"/>
      <c r="F15" s="107"/>
      <c r="G15" s="107"/>
      <c r="H15" s="158">
        <f>SUBTOTAL(9,Tabelle1[TN-Beitrag])</f>
        <v>590</v>
      </c>
      <c r="I15" s="107">
        <f>SUBTOTAL(103,Tabelle1[reduzierter Beitrag])</f>
        <v>6</v>
      </c>
    </row>
    <row r="16" spans="1:12">
      <c r="H16" s="157"/>
    </row>
    <row r="19" spans="1:9">
      <c r="A19" s="115" t="s">
        <v>268</v>
      </c>
      <c r="B19" s="116"/>
      <c r="C19" s="116"/>
      <c r="D19" s="116"/>
      <c r="E19" s="116"/>
    </row>
    <row r="20" spans="1:9">
      <c r="A20" s="116"/>
      <c r="B20" s="116"/>
      <c r="C20" s="116"/>
      <c r="D20" s="116"/>
      <c r="E20" s="116"/>
    </row>
    <row r="21" spans="1:9">
      <c r="A21" s="128" t="s">
        <v>243</v>
      </c>
      <c r="B21" s="128" t="s">
        <v>244</v>
      </c>
      <c r="C21" s="175" t="s">
        <v>245</v>
      </c>
      <c r="D21" s="176"/>
    </row>
    <row r="22" spans="1:9">
      <c r="A22" s="126">
        <v>1</v>
      </c>
      <c r="B22" s="127" t="s">
        <v>246</v>
      </c>
      <c r="C22" s="173" t="s">
        <v>247</v>
      </c>
      <c r="D22" s="174"/>
      <c r="I22" s="12"/>
    </row>
    <row r="23" spans="1:9">
      <c r="A23" s="117">
        <v>2</v>
      </c>
      <c r="B23" s="118" t="s">
        <v>248</v>
      </c>
      <c r="C23" s="177" t="s">
        <v>249</v>
      </c>
      <c r="D23" s="178"/>
    </row>
    <row r="24" spans="1:9">
      <c r="A24" s="117">
        <v>3</v>
      </c>
      <c r="B24" s="118" t="s">
        <v>250</v>
      </c>
      <c r="C24" s="177" t="s">
        <v>251</v>
      </c>
      <c r="D24" s="178"/>
    </row>
    <row r="25" spans="1:9">
      <c r="A25" s="117">
        <v>4</v>
      </c>
      <c r="B25" s="118" t="s">
        <v>252</v>
      </c>
      <c r="C25" s="177" t="s">
        <v>253</v>
      </c>
      <c r="D25" s="178"/>
    </row>
    <row r="26" spans="1:9">
      <c r="A26" s="117">
        <v>5</v>
      </c>
      <c r="B26" s="118" t="s">
        <v>254</v>
      </c>
      <c r="C26" s="177" t="s">
        <v>255</v>
      </c>
      <c r="D26" s="178"/>
    </row>
    <row r="27" spans="1:9">
      <c r="A27" s="117">
        <v>6</v>
      </c>
      <c r="B27" s="118" t="s">
        <v>256</v>
      </c>
      <c r="C27" s="177" t="s">
        <v>257</v>
      </c>
      <c r="D27" s="178"/>
    </row>
    <row r="28" spans="1:9">
      <c r="A28" s="126">
        <v>7</v>
      </c>
      <c r="B28" s="127" t="s">
        <v>258</v>
      </c>
      <c r="C28" s="173" t="s">
        <v>259</v>
      </c>
      <c r="D28" s="174"/>
    </row>
    <row r="29" spans="1:9">
      <c r="A29" s="126">
        <v>8</v>
      </c>
      <c r="B29" s="127" t="s">
        <v>260</v>
      </c>
      <c r="C29" s="173" t="s">
        <v>261</v>
      </c>
      <c r="D29" s="174"/>
    </row>
    <row r="30" spans="1:9">
      <c r="A30" s="117">
        <v>9</v>
      </c>
      <c r="B30" s="118" t="s">
        <v>262</v>
      </c>
      <c r="C30" s="177" t="s">
        <v>263</v>
      </c>
      <c r="D30" s="178"/>
    </row>
    <row r="31" spans="1:9">
      <c r="A31" s="126">
        <v>10</v>
      </c>
      <c r="B31" s="127" t="s">
        <v>264</v>
      </c>
      <c r="C31" s="173" t="s">
        <v>265</v>
      </c>
      <c r="D31" s="174"/>
    </row>
    <row r="32" spans="1:9">
      <c r="A32" s="126">
        <v>11</v>
      </c>
      <c r="B32" s="127" t="s">
        <v>266</v>
      </c>
      <c r="C32" s="173" t="s">
        <v>267</v>
      </c>
      <c r="D32" s="174"/>
    </row>
    <row r="33" spans="1:11">
      <c r="J33" s="125" t="s">
        <v>264</v>
      </c>
      <c r="K33" s="125" t="s">
        <v>266</v>
      </c>
    </row>
    <row r="34" spans="1:11">
      <c r="A34" s="125" t="s">
        <v>246</v>
      </c>
      <c r="B34" s="125" t="s">
        <v>248</v>
      </c>
      <c r="C34" s="125" t="s">
        <v>250</v>
      </c>
      <c r="D34" s="125" t="s">
        <v>252</v>
      </c>
      <c r="E34" s="125" t="s">
        <v>254</v>
      </c>
      <c r="F34" s="125" t="s">
        <v>256</v>
      </c>
      <c r="G34" s="125" t="s">
        <v>258</v>
      </c>
      <c r="H34" s="125" t="s">
        <v>260</v>
      </c>
      <c r="I34" s="125" t="s">
        <v>262</v>
      </c>
      <c r="J34" s="110">
        <v>1</v>
      </c>
      <c r="K34" s="110">
        <v>1</v>
      </c>
    </row>
    <row r="35" spans="1:11">
      <c r="A35" s="110">
        <v>1</v>
      </c>
      <c r="B35" s="110">
        <v>1</v>
      </c>
      <c r="C35" s="110">
        <v>1</v>
      </c>
      <c r="D35" s="110">
        <v>1</v>
      </c>
      <c r="E35" s="110">
        <v>1</v>
      </c>
      <c r="F35" s="110">
        <v>1</v>
      </c>
      <c r="G35" s="110">
        <v>1</v>
      </c>
      <c r="H35" s="110">
        <v>1</v>
      </c>
      <c r="I35" s="110">
        <v>1</v>
      </c>
      <c r="J35" s="110">
        <v>2</v>
      </c>
      <c r="K35" s="110">
        <v>2</v>
      </c>
    </row>
    <row r="36" spans="1:11">
      <c r="A36" s="110">
        <v>2</v>
      </c>
      <c r="B36" s="110">
        <v>2</v>
      </c>
      <c r="C36" s="110">
        <v>2</v>
      </c>
      <c r="D36" s="110">
        <v>2</v>
      </c>
      <c r="E36" s="110">
        <v>2</v>
      </c>
      <c r="F36" s="110">
        <v>2</v>
      </c>
      <c r="G36" s="110">
        <v>2</v>
      </c>
      <c r="H36" s="110">
        <v>2</v>
      </c>
      <c r="I36" s="110">
        <v>2</v>
      </c>
      <c r="J36" s="110">
        <v>3</v>
      </c>
      <c r="K36" s="110">
        <v>3</v>
      </c>
    </row>
    <row r="37" spans="1:11">
      <c r="A37" s="110">
        <v>3</v>
      </c>
      <c r="B37" s="110">
        <v>3</v>
      </c>
      <c r="C37" s="110">
        <v>3</v>
      </c>
      <c r="D37" s="110">
        <v>3</v>
      </c>
      <c r="E37" s="110">
        <v>3</v>
      </c>
      <c r="F37" s="110">
        <v>3</v>
      </c>
      <c r="G37" s="110">
        <v>3</v>
      </c>
      <c r="H37" s="110">
        <v>3</v>
      </c>
      <c r="I37" s="110">
        <v>3</v>
      </c>
      <c r="J37" s="110">
        <v>4</v>
      </c>
      <c r="K37" s="110">
        <v>4</v>
      </c>
    </row>
    <row r="38" spans="1:11">
      <c r="A38" s="110">
        <v>4</v>
      </c>
      <c r="B38" s="110">
        <v>4</v>
      </c>
      <c r="C38" s="110">
        <v>4</v>
      </c>
      <c r="D38" s="110">
        <v>4</v>
      </c>
      <c r="E38" s="110">
        <v>4</v>
      </c>
      <c r="F38" s="110">
        <v>4</v>
      </c>
      <c r="G38" s="110">
        <v>4</v>
      </c>
      <c r="H38" s="110">
        <v>4</v>
      </c>
      <c r="I38" s="110">
        <v>4</v>
      </c>
      <c r="J38" s="110">
        <v>5</v>
      </c>
      <c r="K38" s="110">
        <v>5</v>
      </c>
    </row>
    <row r="39" spans="1:11">
      <c r="A39" s="110">
        <v>5</v>
      </c>
      <c r="B39" s="110">
        <v>5</v>
      </c>
      <c r="C39" s="110">
        <v>5</v>
      </c>
      <c r="D39" s="110">
        <v>5</v>
      </c>
      <c r="E39" s="110">
        <v>5</v>
      </c>
      <c r="F39" s="110">
        <v>5</v>
      </c>
      <c r="G39" s="110">
        <v>5</v>
      </c>
      <c r="H39" s="110">
        <v>5</v>
      </c>
      <c r="I39" s="110">
        <v>5</v>
      </c>
      <c r="J39" s="110">
        <v>6</v>
      </c>
      <c r="K39" s="110">
        <v>6</v>
      </c>
    </row>
    <row r="40" spans="1:11">
      <c r="A40" s="110">
        <v>6</v>
      </c>
      <c r="B40" s="110">
        <v>6</v>
      </c>
      <c r="C40" s="110">
        <v>6</v>
      </c>
      <c r="D40" s="110">
        <v>6</v>
      </c>
      <c r="E40" s="110">
        <v>6</v>
      </c>
      <c r="F40" s="110">
        <v>6</v>
      </c>
      <c r="G40" s="110">
        <v>6</v>
      </c>
      <c r="H40" s="110">
        <v>6</v>
      </c>
      <c r="I40" s="110">
        <v>6</v>
      </c>
      <c r="J40" s="110">
        <v>7</v>
      </c>
      <c r="K40" s="110">
        <v>7</v>
      </c>
    </row>
    <row r="41" spans="1:11">
      <c r="A41" s="110">
        <v>7</v>
      </c>
      <c r="B41" s="110">
        <v>7</v>
      </c>
      <c r="C41" s="110">
        <v>7</v>
      </c>
      <c r="D41" s="110">
        <v>7</v>
      </c>
      <c r="E41" s="110">
        <v>7</v>
      </c>
      <c r="F41" s="110">
        <v>7</v>
      </c>
      <c r="G41" s="110">
        <v>7</v>
      </c>
      <c r="H41" s="110">
        <v>7</v>
      </c>
      <c r="I41" s="110">
        <v>7</v>
      </c>
      <c r="J41" s="110">
        <v>8</v>
      </c>
      <c r="K41" s="110">
        <v>8</v>
      </c>
    </row>
    <row r="42" spans="1:11">
      <c r="A42" s="110">
        <v>8</v>
      </c>
      <c r="B42" s="110">
        <v>8</v>
      </c>
      <c r="C42" s="110">
        <v>8</v>
      </c>
      <c r="D42" s="110">
        <v>8</v>
      </c>
      <c r="E42" s="110">
        <v>8</v>
      </c>
      <c r="F42" s="110">
        <v>8</v>
      </c>
      <c r="G42" s="110">
        <v>8</v>
      </c>
      <c r="H42" s="110">
        <v>8</v>
      </c>
      <c r="I42" s="110">
        <v>8</v>
      </c>
      <c r="J42" s="110">
        <v>9</v>
      </c>
      <c r="K42" s="110">
        <v>9</v>
      </c>
    </row>
    <row r="43" spans="1:11">
      <c r="A43" s="110">
        <v>9</v>
      </c>
      <c r="B43" s="110">
        <v>9</v>
      </c>
      <c r="C43" s="110">
        <v>9</v>
      </c>
      <c r="D43" s="110">
        <v>9</v>
      </c>
      <c r="E43" s="110">
        <v>9</v>
      </c>
      <c r="F43" s="110">
        <v>9</v>
      </c>
      <c r="G43" s="110">
        <v>9</v>
      </c>
      <c r="H43" s="110">
        <v>9</v>
      </c>
      <c r="I43" s="110">
        <v>9</v>
      </c>
      <c r="J43" s="110">
        <v>10</v>
      </c>
      <c r="K43" s="110">
        <v>10</v>
      </c>
    </row>
    <row r="44" spans="1:11">
      <c r="A44" s="110">
        <v>10</v>
      </c>
      <c r="B44" s="110">
        <v>10</v>
      </c>
      <c r="C44" s="110">
        <v>10</v>
      </c>
      <c r="D44" s="110">
        <v>10</v>
      </c>
      <c r="E44" s="110">
        <v>10</v>
      </c>
      <c r="F44" s="110">
        <v>10</v>
      </c>
      <c r="G44" s="110">
        <v>10</v>
      </c>
      <c r="H44" s="110">
        <v>10</v>
      </c>
      <c r="I44" s="110">
        <v>10</v>
      </c>
      <c r="J44" s="124">
        <f>SUBTOTAL(10,J34:J43)</f>
        <v>9.1666666666666661</v>
      </c>
      <c r="K44" s="124">
        <f>SUBTOTAL(11,K34:K43)</f>
        <v>8.25</v>
      </c>
    </row>
    <row r="45" spans="1:11">
      <c r="A45" s="124">
        <f>SUBTOTAL(1,A35:A44)</f>
        <v>5.5</v>
      </c>
      <c r="B45" s="124">
        <f>SUBTOTAL(2,B35:B44)</f>
        <v>10</v>
      </c>
      <c r="C45" s="124">
        <f>SUBTOTAL(3,C35:C44)</f>
        <v>10</v>
      </c>
      <c r="D45" s="124">
        <f>SUBTOTAL(4,D35:D44)</f>
        <v>10</v>
      </c>
      <c r="E45" s="124">
        <f>SUBTOTAL(5,E35:E44)</f>
        <v>1</v>
      </c>
      <c r="F45" s="124">
        <f>SUBTOTAL(6,F35:F44)</f>
        <v>3628800</v>
      </c>
      <c r="G45" s="124">
        <f>SUBTOTAL(7,G35:G44)</f>
        <v>3.0276503540974917</v>
      </c>
      <c r="H45" s="124">
        <f>SUBTOTAL(8,H35:H44)</f>
        <v>2.8722813232690143</v>
      </c>
      <c r="I45" s="124">
        <f>SUBTOTAL(9,I35:I44)</f>
        <v>55</v>
      </c>
    </row>
  </sheetData>
  <mergeCells count="12">
    <mergeCell ref="C32:D32"/>
    <mergeCell ref="C21:D21"/>
    <mergeCell ref="C22:D22"/>
    <mergeCell ref="C23:D23"/>
    <mergeCell ref="C24:D24"/>
    <mergeCell ref="C25:D25"/>
    <mergeCell ref="C26:D26"/>
    <mergeCell ref="C27:D27"/>
    <mergeCell ref="C28:D28"/>
    <mergeCell ref="C29:D29"/>
    <mergeCell ref="C30:D30"/>
    <mergeCell ref="C31:D31"/>
  </mergeCells>
  <pageMargins left="0.78749999999999998" right="0.78749999999999998" top="1.2194444444444399" bottom="1.05277777777778" header="0.78749999999999998" footer="0.78749999999999998"/>
  <pageSetup paperSize="9" scale="87" orientation="portrait" horizontalDpi="300" verticalDpi="300"/>
  <headerFooter>
    <oddHeader>&amp;L&amp;"Times New Roman,Standard"&amp;12&amp;KffffffAdresse Antragsteller</oddHeader>
    <oddFooter>&amp;C&amp;"Times New Roman,Standard"&amp;12&amp;KffffffSeite &amp;P</oddFooter>
  </headerFooter>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074B"/>
  </sheetPr>
  <dimension ref="A1:B27"/>
  <sheetViews>
    <sheetView view="pageLayout" topLeftCell="A8" zoomScale="110" zoomScaleNormal="100" zoomScalePageLayoutView="110" workbookViewId="0">
      <selection activeCell="B26" sqref="B26"/>
    </sheetView>
  </sheetViews>
  <sheetFormatPr baseColWidth="10" defaultColWidth="11.5703125" defaultRowHeight="15"/>
  <cols>
    <col min="1" max="1" width="45.140625" customWidth="1"/>
    <col min="2" max="2" width="15.7109375" customWidth="1"/>
  </cols>
  <sheetData>
    <row r="1" spans="1:2">
      <c r="A1" s="1" t="s">
        <v>68</v>
      </c>
      <c r="B1" s="13"/>
    </row>
    <row r="2" spans="1:2">
      <c r="A2" t="s">
        <v>282</v>
      </c>
      <c r="B2" s="13"/>
    </row>
    <row r="3" spans="1:2">
      <c r="B3" s="13"/>
    </row>
    <row r="4" spans="1:2">
      <c r="A4" s="1" t="s">
        <v>281</v>
      </c>
      <c r="B4" s="13"/>
    </row>
    <row r="5" spans="1:2">
      <c r="B5" s="14"/>
    </row>
    <row r="6" spans="1:2">
      <c r="A6" s="15" t="s">
        <v>70</v>
      </c>
      <c r="B6" s="15" t="s">
        <v>283</v>
      </c>
    </row>
    <row r="7" spans="1:2">
      <c r="A7" s="16" t="s">
        <v>71</v>
      </c>
      <c r="B7" s="17">
        <f>SUM(B8:B9)</f>
        <v>24662.809551059996</v>
      </c>
    </row>
    <row r="8" spans="1:2">
      <c r="A8" s="18" t="s">
        <v>72</v>
      </c>
      <c r="B8" s="153">
        <f>'PK1'!L28+'PK1'!L29</f>
        <v>14406.188384399997</v>
      </c>
    </row>
    <row r="9" spans="1:2">
      <c r="A9" s="20" t="s">
        <v>73</v>
      </c>
      <c r="B9" s="154">
        <f>'PK2'!M28+'PK2'!M29</f>
        <v>10256.621166659999</v>
      </c>
    </row>
    <row r="10" spans="1:2">
      <c r="A10" s="16" t="s">
        <v>74</v>
      </c>
      <c r="B10" s="17">
        <f>SUM(B11:B19)</f>
        <v>11050</v>
      </c>
    </row>
    <row r="11" spans="1:2">
      <c r="A11" s="18" t="s">
        <v>75</v>
      </c>
      <c r="B11" s="19">
        <v>3000</v>
      </c>
    </row>
    <row r="12" spans="1:2">
      <c r="A12" s="18" t="s">
        <v>76</v>
      </c>
      <c r="B12" s="19">
        <v>800</v>
      </c>
    </row>
    <row r="13" spans="1:2">
      <c r="A13" s="18" t="s">
        <v>77</v>
      </c>
      <c r="B13" s="19">
        <v>300</v>
      </c>
    </row>
    <row r="14" spans="1:2">
      <c r="A14" s="22" t="s">
        <v>78</v>
      </c>
      <c r="B14" s="19">
        <v>1650</v>
      </c>
    </row>
    <row r="15" spans="1:2">
      <c r="A15" s="22" t="s">
        <v>79</v>
      </c>
      <c r="B15" s="19">
        <v>1000</v>
      </c>
    </row>
    <row r="16" spans="1:2">
      <c r="A16" s="22" t="s">
        <v>80</v>
      </c>
      <c r="B16" s="19">
        <v>100</v>
      </c>
    </row>
    <row r="17" spans="1:2" ht="30">
      <c r="A17" s="18" t="s">
        <v>81</v>
      </c>
      <c r="B17" s="19">
        <v>1500</v>
      </c>
    </row>
    <row r="18" spans="1:2">
      <c r="A18" s="18" t="s">
        <v>82</v>
      </c>
      <c r="B18" s="19">
        <v>1000</v>
      </c>
    </row>
    <row r="19" spans="1:2">
      <c r="A19" s="22" t="s">
        <v>83</v>
      </c>
      <c r="B19" s="154">
        <f>ROUND(SUM(B7,B11:B18)*5%,-1)</f>
        <v>1700</v>
      </c>
    </row>
    <row r="20" spans="1:2">
      <c r="A20" s="23" t="s">
        <v>84</v>
      </c>
      <c r="B20" s="156">
        <f>B7+B10</f>
        <v>35712.809551059996</v>
      </c>
    </row>
    <row r="21" spans="1:2">
      <c r="A21" s="23"/>
      <c r="B21" s="24"/>
    </row>
    <row r="22" spans="1:2">
      <c r="A22" s="15" t="s">
        <v>85</v>
      </c>
      <c r="B22" s="25"/>
    </row>
    <row r="23" spans="1:2">
      <c r="A23" s="26" t="s">
        <v>70</v>
      </c>
      <c r="B23" s="27" t="s">
        <v>284</v>
      </c>
    </row>
    <row r="24" spans="1:2">
      <c r="A24" s="28" t="s">
        <v>87</v>
      </c>
      <c r="B24" s="155">
        <f>ROUND(B20*80%,-1)</f>
        <v>28570</v>
      </c>
    </row>
    <row r="25" spans="1:2">
      <c r="A25" s="30" t="s">
        <v>88</v>
      </c>
      <c r="B25" s="155">
        <v>5000</v>
      </c>
    </row>
    <row r="26" spans="1:2">
      <c r="A26" s="30" t="s">
        <v>89</v>
      </c>
      <c r="B26" s="155">
        <f>B20-B24-B25</f>
        <v>2142.809551059996</v>
      </c>
    </row>
    <row r="27" spans="1:2">
      <c r="A27" s="23" t="s">
        <v>84</v>
      </c>
      <c r="B27" s="27">
        <f>SUM(B24:B26)</f>
        <v>35712.809551059996</v>
      </c>
    </row>
  </sheetData>
  <pageMargins left="0.78749999999999998" right="0.78749999999999998" top="1.2194444444444399" bottom="1.05277777777778" header="0.78749999999999998" footer="0.78749999999999998"/>
  <pageSetup paperSize="9" scale="87" orientation="portrait" horizontalDpi="300" verticalDpi="300" r:id="rId1"/>
  <headerFooter>
    <oddHeader>&amp;L&amp;"Times New Roman,Standard"&amp;12&amp;KFFFFFFAdresse Antragsteller</oddHeader>
    <oddFooter>&amp;C&amp;"Times New Roman,Standard"&amp;12&amp;KffffffSeite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074B"/>
  </sheetPr>
  <dimension ref="A1:D8"/>
  <sheetViews>
    <sheetView zoomScaleNormal="100" zoomScalePageLayoutView="120" workbookViewId="0">
      <selection activeCell="B7" sqref="B7"/>
    </sheetView>
  </sheetViews>
  <sheetFormatPr baseColWidth="10" defaultColWidth="11.5703125" defaultRowHeight="15"/>
  <cols>
    <col min="1" max="1" width="30.5703125" customWidth="1"/>
    <col min="2" max="2" width="14.28515625" customWidth="1"/>
    <col min="3" max="3" width="13.42578125" customWidth="1"/>
    <col min="4" max="4" width="13.7109375" customWidth="1"/>
  </cols>
  <sheetData>
    <row r="1" spans="1:4">
      <c r="A1" s="1" t="s">
        <v>68</v>
      </c>
    </row>
    <row r="2" spans="1:4">
      <c r="A2" t="s">
        <v>69</v>
      </c>
    </row>
    <row r="3" spans="1:4">
      <c r="A3" s="1" t="s">
        <v>90</v>
      </c>
    </row>
    <row r="5" spans="1:4">
      <c r="A5" s="1" t="s">
        <v>70</v>
      </c>
      <c r="B5" s="1" t="s">
        <v>91</v>
      </c>
      <c r="C5" s="1" t="s">
        <v>92</v>
      </c>
      <c r="D5" s="1" t="s">
        <v>93</v>
      </c>
    </row>
    <row r="6" spans="1:4">
      <c r="A6" s="31" t="s">
        <v>75</v>
      </c>
      <c r="B6">
        <v>30</v>
      </c>
      <c r="C6">
        <v>100</v>
      </c>
      <c r="D6">
        <f>B6*C6</f>
        <v>3000</v>
      </c>
    </row>
    <row r="7" spans="1:4">
      <c r="A7" s="31" t="s">
        <v>76</v>
      </c>
    </row>
    <row r="8" spans="1:4">
      <c r="A8" s="31" t="s">
        <v>77</v>
      </c>
    </row>
  </sheetData>
  <pageMargins left="0.78749999999999998" right="0.78749999999999998" top="1.2194444444444399" bottom="1.05277777777778" header="0.78749999999999998" footer="0.78749999999999998"/>
  <pageSetup paperSize="9" scale="87" orientation="portrait" horizontalDpi="300" verticalDpi="300"/>
  <headerFooter>
    <oddHeader>&amp;L&amp;"Times New Roman,Standard"&amp;12&amp;KffffffAdresse Antragsteller</oddHeader>
    <oddFooter>&amp;C&amp;"Times New Roman,Standard"&amp;12&amp;KffffffSeite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074B"/>
  </sheetPr>
  <dimension ref="A1:P36"/>
  <sheetViews>
    <sheetView topLeftCell="A7" zoomScaleNormal="100" zoomScalePageLayoutView="120" workbookViewId="0">
      <selection activeCell="D14" sqref="D14"/>
    </sheetView>
  </sheetViews>
  <sheetFormatPr baseColWidth="10" defaultColWidth="11.5703125" defaultRowHeight="15"/>
  <sheetData>
    <row r="1" spans="1:16">
      <c r="A1" s="32" t="s">
        <v>94</v>
      </c>
      <c r="B1" s="33"/>
      <c r="C1" s="33"/>
      <c r="D1" s="32" t="s">
        <v>95</v>
      </c>
      <c r="E1" s="33"/>
      <c r="F1" s="34">
        <v>2025</v>
      </c>
      <c r="G1" s="33"/>
      <c r="H1" s="33"/>
      <c r="I1" s="33"/>
      <c r="J1" s="33"/>
      <c r="K1" s="33"/>
      <c r="L1" s="33"/>
      <c r="M1" s="33"/>
      <c r="N1" s="33"/>
      <c r="O1" s="33"/>
      <c r="P1" s="33"/>
    </row>
    <row r="2" spans="1:16">
      <c r="A2" s="32"/>
      <c r="B2" s="33"/>
      <c r="C2" s="32"/>
      <c r="D2" s="32"/>
      <c r="E2" s="35"/>
      <c r="F2" s="33"/>
      <c r="G2" s="33"/>
      <c r="H2" s="33"/>
      <c r="I2" s="33"/>
      <c r="J2" s="33"/>
      <c r="K2" s="33"/>
      <c r="L2" s="33"/>
      <c r="M2" s="33"/>
      <c r="N2" s="33"/>
      <c r="O2" s="33"/>
      <c r="P2" s="33"/>
    </row>
    <row r="3" spans="1:16">
      <c r="A3" s="36" t="s">
        <v>96</v>
      </c>
      <c r="B3" s="37" t="s">
        <v>97</v>
      </c>
      <c r="C3" s="36"/>
      <c r="D3" s="36"/>
      <c r="E3" s="36"/>
      <c r="F3" s="36" t="s">
        <v>98</v>
      </c>
      <c r="G3" s="38" t="s">
        <v>290</v>
      </c>
      <c r="H3" s="36"/>
      <c r="I3" s="39"/>
      <c r="J3" s="36"/>
      <c r="K3" s="36"/>
      <c r="L3" s="36"/>
      <c r="M3" s="36"/>
      <c r="N3" s="36"/>
      <c r="O3" s="36"/>
      <c r="P3" s="36"/>
    </row>
    <row r="4" spans="1:16">
      <c r="A4" s="36"/>
      <c r="B4" s="40"/>
      <c r="C4" s="36"/>
      <c r="D4" s="36"/>
      <c r="E4" s="36"/>
      <c r="F4" s="36" t="s">
        <v>100</v>
      </c>
      <c r="G4" s="38" t="s">
        <v>101</v>
      </c>
      <c r="H4" s="36"/>
      <c r="I4" s="39"/>
      <c r="J4" s="36"/>
      <c r="K4" s="36"/>
      <c r="L4" s="36"/>
      <c r="M4" s="36"/>
      <c r="N4" s="36"/>
      <c r="O4" s="36"/>
      <c r="P4" s="36"/>
    </row>
    <row r="5" spans="1:16">
      <c r="A5" s="36"/>
      <c r="B5" s="41"/>
      <c r="C5" s="39"/>
      <c r="D5" s="36"/>
      <c r="E5" s="36"/>
      <c r="F5" s="36" t="s">
        <v>103</v>
      </c>
      <c r="G5" s="36"/>
      <c r="H5" s="38"/>
      <c r="I5" s="42"/>
      <c r="J5" s="36"/>
      <c r="K5" s="36"/>
      <c r="L5" s="36"/>
      <c r="M5" s="36"/>
      <c r="N5" s="36"/>
      <c r="O5" s="36"/>
      <c r="P5" s="36"/>
    </row>
    <row r="6" spans="1:16">
      <c r="A6" s="36" t="s">
        <v>104</v>
      </c>
      <c r="B6" s="41" t="s">
        <v>291</v>
      </c>
      <c r="C6" s="36"/>
      <c r="D6" s="36"/>
      <c r="E6" s="36"/>
      <c r="F6" s="36" t="s">
        <v>105</v>
      </c>
      <c r="G6" s="36"/>
      <c r="H6" s="43">
        <v>10</v>
      </c>
      <c r="I6" s="44" t="s">
        <v>106</v>
      </c>
      <c r="J6" s="36"/>
      <c r="K6" s="45"/>
      <c r="L6" s="44"/>
      <c r="M6" s="36"/>
      <c r="N6" s="36"/>
      <c r="O6" s="36"/>
      <c r="P6" s="36"/>
    </row>
    <row r="7" spans="1:16">
      <c r="A7" s="36" t="s">
        <v>107</v>
      </c>
      <c r="B7" s="46">
        <v>3</v>
      </c>
      <c r="C7" s="47"/>
      <c r="D7" s="36"/>
      <c r="E7" s="36"/>
      <c r="G7" s="36"/>
      <c r="H7" s="36"/>
      <c r="I7" s="44" t="s">
        <v>106</v>
      </c>
      <c r="J7" s="36"/>
      <c r="K7" s="36"/>
      <c r="L7" s="36"/>
      <c r="M7" s="36"/>
      <c r="N7" s="36"/>
      <c r="O7" s="36"/>
      <c r="P7" s="36"/>
    </row>
    <row r="8" spans="1:16">
      <c r="A8" s="36"/>
      <c r="B8" s="39"/>
      <c r="C8" s="47"/>
      <c r="D8" s="36"/>
      <c r="E8" s="36"/>
      <c r="F8" s="36"/>
      <c r="G8" s="36"/>
      <c r="H8" s="36"/>
      <c r="I8" s="48"/>
      <c r="J8" s="36"/>
      <c r="K8" s="36"/>
      <c r="L8" s="36"/>
      <c r="M8" s="36"/>
      <c r="N8" s="36"/>
      <c r="O8" s="36"/>
      <c r="P8" s="36"/>
    </row>
    <row r="9" spans="1:16">
      <c r="A9" s="36" t="s">
        <v>108</v>
      </c>
      <c r="B9" s="49"/>
      <c r="C9" s="47"/>
      <c r="D9" s="36"/>
      <c r="E9" s="36"/>
      <c r="F9" s="36" t="s">
        <v>110</v>
      </c>
      <c r="G9" s="36"/>
      <c r="H9" s="36"/>
      <c r="I9" s="50">
        <f>D14+E14+F14+G14+H14+I14+J14</f>
        <v>0.23710000000000001</v>
      </c>
      <c r="J9" s="36"/>
      <c r="K9" s="36"/>
      <c r="L9" s="36"/>
      <c r="M9" s="36"/>
      <c r="N9" s="36"/>
      <c r="O9" s="36"/>
      <c r="P9" s="36"/>
    </row>
    <row r="10" spans="1:16">
      <c r="A10" s="36" t="s">
        <v>111</v>
      </c>
      <c r="B10" s="43"/>
      <c r="C10" s="36"/>
      <c r="D10" s="36"/>
      <c r="E10" s="36"/>
      <c r="F10" s="36" t="s">
        <v>112</v>
      </c>
      <c r="G10" s="36"/>
      <c r="H10" s="36"/>
      <c r="I10" s="51"/>
      <c r="J10" s="52"/>
      <c r="K10" s="36"/>
      <c r="L10" s="36"/>
      <c r="M10" s="36"/>
      <c r="N10" s="36"/>
      <c r="O10" s="36"/>
      <c r="P10" s="36"/>
    </row>
    <row r="11" spans="1:16">
      <c r="A11" s="36" t="s">
        <v>113</v>
      </c>
      <c r="B11" s="43"/>
      <c r="C11" s="36"/>
      <c r="D11" s="36"/>
      <c r="E11" s="36"/>
      <c r="F11" s="36" t="s">
        <v>114</v>
      </c>
      <c r="G11" s="36"/>
      <c r="H11" s="42"/>
      <c r="I11" s="53"/>
      <c r="J11" s="36"/>
      <c r="K11" s="36"/>
      <c r="L11" s="36"/>
      <c r="M11" s="36"/>
      <c r="N11" s="36"/>
      <c r="O11" s="36"/>
      <c r="P11" s="36"/>
    </row>
    <row r="12" spans="1:16">
      <c r="A12" s="36"/>
      <c r="B12" s="36"/>
      <c r="C12" s="36"/>
      <c r="D12" s="36"/>
      <c r="E12" s="36"/>
      <c r="F12" s="36"/>
      <c r="G12" s="36"/>
      <c r="H12" s="36"/>
      <c r="I12" s="36"/>
      <c r="J12" s="36"/>
      <c r="K12" s="36"/>
      <c r="L12" s="36"/>
      <c r="M12" s="36"/>
      <c r="N12" s="36"/>
      <c r="O12" s="36"/>
      <c r="P12" s="36"/>
    </row>
    <row r="13" spans="1:16" ht="48">
      <c r="A13" s="179" t="s">
        <v>115</v>
      </c>
      <c r="B13" s="54" t="s">
        <v>116</v>
      </c>
      <c r="C13" s="54" t="s">
        <v>117</v>
      </c>
      <c r="D13" s="54" t="s">
        <v>118</v>
      </c>
      <c r="E13" s="54" t="s">
        <v>119</v>
      </c>
      <c r="F13" s="54" t="s">
        <v>120</v>
      </c>
      <c r="G13" s="55" t="s">
        <v>121</v>
      </c>
      <c r="H13" s="56" t="s">
        <v>122</v>
      </c>
      <c r="I13" s="56" t="s">
        <v>123</v>
      </c>
      <c r="J13" s="57" t="s">
        <v>124</v>
      </c>
      <c r="K13" s="57" t="s">
        <v>125</v>
      </c>
      <c r="L13" s="58" t="s">
        <v>84</v>
      </c>
      <c r="M13" s="35"/>
      <c r="N13" s="35"/>
      <c r="O13" s="35"/>
      <c r="P13" s="35"/>
    </row>
    <row r="14" spans="1:16">
      <c r="A14" s="179"/>
      <c r="B14" s="59">
        <v>40</v>
      </c>
      <c r="C14" s="60"/>
      <c r="D14" s="61">
        <v>8.3000000000000004E-2</v>
      </c>
      <c r="E14" s="61">
        <v>9.2999999999999999E-2</v>
      </c>
      <c r="F14" s="61">
        <v>1.2999999999999999E-2</v>
      </c>
      <c r="G14" s="62">
        <v>1.7000000000000001E-2</v>
      </c>
      <c r="H14" s="63">
        <v>2.4E-2</v>
      </c>
      <c r="I14" s="61">
        <v>6.4999999999999997E-3</v>
      </c>
      <c r="J14" s="61">
        <v>5.9999999999999995E-4</v>
      </c>
      <c r="K14" s="64">
        <f t="shared" ref="K14:K27" si="0">SUM(D14:J14)</f>
        <v>0.23710000000000001</v>
      </c>
      <c r="L14" s="65"/>
      <c r="M14" s="35"/>
      <c r="N14" s="35"/>
      <c r="O14" s="35"/>
      <c r="P14" s="35"/>
    </row>
    <row r="15" spans="1:16">
      <c r="A15" s="66" t="s">
        <v>126</v>
      </c>
      <c r="B15" s="67">
        <v>3872.5940000000001</v>
      </c>
      <c r="C15" s="68">
        <f>ROUND(B15/$B$14*$H$6,2)</f>
        <v>968.15</v>
      </c>
      <c r="D15" s="69">
        <f>ROUND(($C15)*D$14,2)</f>
        <v>80.36</v>
      </c>
      <c r="E15" s="69">
        <f t="shared" ref="D15:J26" si="1">ROUND(($C15)*E$14,2)</f>
        <v>90.04</v>
      </c>
      <c r="F15" s="69">
        <f t="shared" si="1"/>
        <v>12.59</v>
      </c>
      <c r="G15" s="69">
        <f t="shared" si="1"/>
        <v>16.46</v>
      </c>
      <c r="H15" s="69">
        <f t="shared" si="1"/>
        <v>23.24</v>
      </c>
      <c r="I15" s="69">
        <f t="shared" si="1"/>
        <v>6.29</v>
      </c>
      <c r="J15" s="69">
        <f t="shared" si="1"/>
        <v>0.57999999999999996</v>
      </c>
      <c r="K15" s="69">
        <f t="shared" si="0"/>
        <v>229.56000000000003</v>
      </c>
      <c r="L15" s="69">
        <f t="shared" ref="L15:L27" si="2">C15+K15</f>
        <v>1197.71</v>
      </c>
      <c r="M15" s="70"/>
      <c r="N15" s="36"/>
      <c r="O15" s="36"/>
      <c r="P15" s="36"/>
    </row>
    <row r="16" spans="1:16">
      <c r="A16" s="71" t="s">
        <v>127</v>
      </c>
      <c r="B16" s="67">
        <v>3872.5940000000001</v>
      </c>
      <c r="C16" s="68">
        <f t="shared" ref="C16:C27" si="3">ROUND(B16/$B$14*$H$6,2)</f>
        <v>968.15</v>
      </c>
      <c r="D16" s="69">
        <f t="shared" si="1"/>
        <v>80.36</v>
      </c>
      <c r="E16" s="69">
        <f t="shared" si="1"/>
        <v>90.04</v>
      </c>
      <c r="F16" s="69">
        <f t="shared" si="1"/>
        <v>12.59</v>
      </c>
      <c r="G16" s="69">
        <f t="shared" si="1"/>
        <v>16.46</v>
      </c>
      <c r="H16" s="69">
        <f t="shared" si="1"/>
        <v>23.24</v>
      </c>
      <c r="I16" s="69">
        <f t="shared" si="1"/>
        <v>6.29</v>
      </c>
      <c r="J16" s="69">
        <f t="shared" si="1"/>
        <v>0.57999999999999996</v>
      </c>
      <c r="K16" s="69">
        <f t="shared" si="0"/>
        <v>229.56000000000003</v>
      </c>
      <c r="L16" s="69">
        <f t="shared" si="2"/>
        <v>1197.71</v>
      </c>
      <c r="M16" s="36"/>
      <c r="N16" s="72"/>
      <c r="O16" s="36"/>
      <c r="P16" s="36"/>
    </row>
    <row r="17" spans="1:16">
      <c r="A17" s="71" t="s">
        <v>128</v>
      </c>
      <c r="B17" s="67">
        <v>3872.5940000000001</v>
      </c>
      <c r="C17" s="68">
        <f t="shared" si="3"/>
        <v>968.15</v>
      </c>
      <c r="D17" s="69">
        <f t="shared" si="1"/>
        <v>80.36</v>
      </c>
      <c r="E17" s="69">
        <f t="shared" si="1"/>
        <v>90.04</v>
      </c>
      <c r="F17" s="69">
        <f t="shared" si="1"/>
        <v>12.59</v>
      </c>
      <c r="G17" s="69">
        <f t="shared" si="1"/>
        <v>16.46</v>
      </c>
      <c r="H17" s="69">
        <f t="shared" si="1"/>
        <v>23.24</v>
      </c>
      <c r="I17" s="69">
        <f t="shared" si="1"/>
        <v>6.29</v>
      </c>
      <c r="J17" s="69">
        <f t="shared" si="1"/>
        <v>0.57999999999999996</v>
      </c>
      <c r="K17" s="69">
        <f t="shared" si="0"/>
        <v>229.56000000000003</v>
      </c>
      <c r="L17" s="69">
        <f t="shared" si="2"/>
        <v>1197.71</v>
      </c>
      <c r="M17" s="36"/>
      <c r="N17" s="72"/>
      <c r="O17" s="36"/>
      <c r="P17" s="73"/>
    </row>
    <row r="18" spans="1:16">
      <c r="A18" s="71" t="s">
        <v>129</v>
      </c>
      <c r="B18" s="67">
        <v>3872.5940000000001</v>
      </c>
      <c r="C18" s="68">
        <f t="shared" si="3"/>
        <v>968.15</v>
      </c>
      <c r="D18" s="69">
        <f t="shared" si="1"/>
        <v>80.36</v>
      </c>
      <c r="E18" s="69">
        <f t="shared" si="1"/>
        <v>90.04</v>
      </c>
      <c r="F18" s="69">
        <f t="shared" si="1"/>
        <v>12.59</v>
      </c>
      <c r="G18" s="69">
        <f t="shared" si="1"/>
        <v>16.46</v>
      </c>
      <c r="H18" s="69">
        <f t="shared" si="1"/>
        <v>23.24</v>
      </c>
      <c r="I18" s="69">
        <f t="shared" si="1"/>
        <v>6.29</v>
      </c>
      <c r="J18" s="69">
        <f t="shared" si="1"/>
        <v>0.57999999999999996</v>
      </c>
      <c r="K18" s="69">
        <f t="shared" si="0"/>
        <v>229.56000000000003</v>
      </c>
      <c r="L18" s="69">
        <f t="shared" si="2"/>
        <v>1197.71</v>
      </c>
      <c r="M18" s="36"/>
      <c r="N18" s="36"/>
      <c r="O18" s="36"/>
      <c r="P18" s="73"/>
    </row>
    <row r="19" spans="1:16">
      <c r="A19" s="71" t="s">
        <v>130</v>
      </c>
      <c r="B19" s="67">
        <v>3872.5940000000001</v>
      </c>
      <c r="C19" s="68">
        <f t="shared" si="3"/>
        <v>968.15</v>
      </c>
      <c r="D19" s="69">
        <f t="shared" si="1"/>
        <v>80.36</v>
      </c>
      <c r="E19" s="69">
        <f t="shared" si="1"/>
        <v>90.04</v>
      </c>
      <c r="F19" s="69">
        <f t="shared" si="1"/>
        <v>12.59</v>
      </c>
      <c r="G19" s="69">
        <f t="shared" si="1"/>
        <v>16.46</v>
      </c>
      <c r="H19" s="69">
        <f t="shared" si="1"/>
        <v>23.24</v>
      </c>
      <c r="I19" s="69">
        <f t="shared" si="1"/>
        <v>6.29</v>
      </c>
      <c r="J19" s="69">
        <f t="shared" si="1"/>
        <v>0.57999999999999996</v>
      </c>
      <c r="K19" s="69">
        <f t="shared" si="0"/>
        <v>229.56000000000003</v>
      </c>
      <c r="L19" s="69">
        <f t="shared" si="2"/>
        <v>1197.71</v>
      </c>
      <c r="M19" s="36"/>
      <c r="N19" s="36"/>
      <c r="O19" s="36"/>
      <c r="P19" s="73"/>
    </row>
    <row r="20" spans="1:16">
      <c r="A20" s="71" t="s">
        <v>131</v>
      </c>
      <c r="B20" s="67">
        <v>3872.5940000000001</v>
      </c>
      <c r="C20" s="68">
        <f t="shared" si="3"/>
        <v>968.15</v>
      </c>
      <c r="D20" s="69">
        <f t="shared" si="1"/>
        <v>80.36</v>
      </c>
      <c r="E20" s="69">
        <f t="shared" si="1"/>
        <v>90.04</v>
      </c>
      <c r="F20" s="69">
        <f t="shared" si="1"/>
        <v>12.59</v>
      </c>
      <c r="G20" s="69">
        <f t="shared" si="1"/>
        <v>16.46</v>
      </c>
      <c r="H20" s="69">
        <f t="shared" si="1"/>
        <v>23.24</v>
      </c>
      <c r="I20" s="69">
        <f t="shared" si="1"/>
        <v>6.29</v>
      </c>
      <c r="J20" s="69">
        <f t="shared" si="1"/>
        <v>0.57999999999999996</v>
      </c>
      <c r="K20" s="69">
        <f t="shared" si="0"/>
        <v>229.56000000000003</v>
      </c>
      <c r="L20" s="69">
        <f t="shared" si="2"/>
        <v>1197.71</v>
      </c>
      <c r="M20" s="36"/>
      <c r="N20" s="36"/>
      <c r="O20" s="36"/>
      <c r="P20" s="73"/>
    </row>
    <row r="21" spans="1:16">
      <c r="A21" s="71" t="s">
        <v>132</v>
      </c>
      <c r="B21" s="67">
        <v>3872.5940000000001</v>
      </c>
      <c r="C21" s="68">
        <f t="shared" si="3"/>
        <v>968.15</v>
      </c>
      <c r="D21" s="69">
        <f t="shared" si="1"/>
        <v>80.36</v>
      </c>
      <c r="E21" s="69">
        <f t="shared" si="1"/>
        <v>90.04</v>
      </c>
      <c r="F21" s="69">
        <f t="shared" si="1"/>
        <v>12.59</v>
      </c>
      <c r="G21" s="69">
        <f t="shared" si="1"/>
        <v>16.46</v>
      </c>
      <c r="H21" s="69">
        <f t="shared" si="1"/>
        <v>23.24</v>
      </c>
      <c r="I21" s="69">
        <f t="shared" si="1"/>
        <v>6.29</v>
      </c>
      <c r="J21" s="69">
        <f t="shared" si="1"/>
        <v>0.57999999999999996</v>
      </c>
      <c r="K21" s="69">
        <f t="shared" si="0"/>
        <v>229.56000000000003</v>
      </c>
      <c r="L21" s="69">
        <f t="shared" si="2"/>
        <v>1197.71</v>
      </c>
      <c r="M21" s="36"/>
      <c r="N21" s="36"/>
      <c r="O21" s="36"/>
      <c r="P21" s="36"/>
    </row>
    <row r="22" spans="1:16">
      <c r="A22" s="71" t="s">
        <v>133</v>
      </c>
      <c r="B22" s="67">
        <v>3872.5940000000001</v>
      </c>
      <c r="C22" s="68">
        <f t="shared" si="3"/>
        <v>968.15</v>
      </c>
      <c r="D22" s="69">
        <f t="shared" si="1"/>
        <v>80.36</v>
      </c>
      <c r="E22" s="69">
        <f t="shared" si="1"/>
        <v>90.04</v>
      </c>
      <c r="F22" s="69">
        <f t="shared" si="1"/>
        <v>12.59</v>
      </c>
      <c r="G22" s="69">
        <f t="shared" si="1"/>
        <v>16.46</v>
      </c>
      <c r="H22" s="69">
        <f t="shared" si="1"/>
        <v>23.24</v>
      </c>
      <c r="I22" s="69">
        <f t="shared" si="1"/>
        <v>6.29</v>
      </c>
      <c r="J22" s="69">
        <f t="shared" si="1"/>
        <v>0.57999999999999996</v>
      </c>
      <c r="K22" s="69">
        <f t="shared" si="0"/>
        <v>229.56000000000003</v>
      </c>
      <c r="L22" s="69">
        <f t="shared" si="2"/>
        <v>1197.71</v>
      </c>
      <c r="M22" s="36"/>
      <c r="N22" s="36"/>
      <c r="O22" s="36"/>
      <c r="P22" s="36"/>
    </row>
    <row r="23" spans="1:16">
      <c r="A23" s="71" t="s">
        <v>134</v>
      </c>
      <c r="B23" s="67">
        <v>3872.5940000000001</v>
      </c>
      <c r="C23" s="68">
        <f t="shared" si="3"/>
        <v>968.15</v>
      </c>
      <c r="D23" s="69">
        <f t="shared" si="1"/>
        <v>80.36</v>
      </c>
      <c r="E23" s="69">
        <f t="shared" si="1"/>
        <v>90.04</v>
      </c>
      <c r="F23" s="69">
        <f t="shared" si="1"/>
        <v>12.59</v>
      </c>
      <c r="G23" s="69">
        <f t="shared" si="1"/>
        <v>16.46</v>
      </c>
      <c r="H23" s="69">
        <f t="shared" si="1"/>
        <v>23.24</v>
      </c>
      <c r="I23" s="69">
        <f t="shared" si="1"/>
        <v>6.29</v>
      </c>
      <c r="J23" s="69">
        <f t="shared" si="1"/>
        <v>0.57999999999999996</v>
      </c>
      <c r="K23" s="69">
        <f t="shared" si="0"/>
        <v>229.56000000000003</v>
      </c>
      <c r="L23" s="69">
        <f t="shared" si="2"/>
        <v>1197.71</v>
      </c>
      <c r="M23" s="36"/>
      <c r="N23" s="36"/>
      <c r="O23" s="36"/>
      <c r="P23" s="36"/>
    </row>
    <row r="24" spans="1:16">
      <c r="A24" s="71" t="s">
        <v>135</v>
      </c>
      <c r="B24" s="67">
        <v>3872.5940000000001</v>
      </c>
      <c r="C24" s="68">
        <f t="shared" si="3"/>
        <v>968.15</v>
      </c>
      <c r="D24" s="69">
        <f t="shared" si="1"/>
        <v>80.36</v>
      </c>
      <c r="E24" s="69">
        <f t="shared" si="1"/>
        <v>90.04</v>
      </c>
      <c r="F24" s="69">
        <f t="shared" si="1"/>
        <v>12.59</v>
      </c>
      <c r="G24" s="69">
        <f t="shared" si="1"/>
        <v>16.46</v>
      </c>
      <c r="H24" s="69">
        <f t="shared" si="1"/>
        <v>23.24</v>
      </c>
      <c r="I24" s="69">
        <f t="shared" si="1"/>
        <v>6.29</v>
      </c>
      <c r="J24" s="69">
        <f t="shared" si="1"/>
        <v>0.57999999999999996</v>
      </c>
      <c r="K24" s="69">
        <f t="shared" si="0"/>
        <v>229.56000000000003</v>
      </c>
      <c r="L24" s="69">
        <f t="shared" si="2"/>
        <v>1197.71</v>
      </c>
      <c r="M24" s="36"/>
      <c r="N24" s="36"/>
      <c r="O24" s="36"/>
      <c r="P24" s="36"/>
    </row>
    <row r="25" spans="1:16">
      <c r="A25" s="71" t="s">
        <v>136</v>
      </c>
      <c r="B25" s="67">
        <v>3872.5940000000001</v>
      </c>
      <c r="C25" s="68">
        <f t="shared" si="3"/>
        <v>968.15</v>
      </c>
      <c r="D25" s="69">
        <f t="shared" si="1"/>
        <v>80.36</v>
      </c>
      <c r="E25" s="69">
        <f t="shared" si="1"/>
        <v>90.04</v>
      </c>
      <c r="F25" s="69">
        <f t="shared" si="1"/>
        <v>12.59</v>
      </c>
      <c r="G25" s="69">
        <f t="shared" si="1"/>
        <v>16.46</v>
      </c>
      <c r="H25" s="69">
        <f t="shared" si="1"/>
        <v>23.24</v>
      </c>
      <c r="I25" s="69">
        <f t="shared" si="1"/>
        <v>6.29</v>
      </c>
      <c r="J25" s="69">
        <f t="shared" si="1"/>
        <v>0.57999999999999996</v>
      </c>
      <c r="K25" s="69">
        <f t="shared" si="0"/>
        <v>229.56000000000003</v>
      </c>
      <c r="L25" s="69">
        <f t="shared" si="2"/>
        <v>1197.71</v>
      </c>
      <c r="M25" s="36"/>
      <c r="N25" s="36"/>
      <c r="O25" s="36"/>
      <c r="P25" s="36"/>
    </row>
    <row r="26" spans="1:16">
      <c r="A26" s="71" t="s">
        <v>137</v>
      </c>
      <c r="B26" s="67">
        <v>3872.5940000000001</v>
      </c>
      <c r="C26" s="68">
        <f t="shared" si="3"/>
        <v>968.15</v>
      </c>
      <c r="D26" s="69">
        <f t="shared" si="1"/>
        <v>80.36</v>
      </c>
      <c r="E26" s="69">
        <f t="shared" si="1"/>
        <v>90.04</v>
      </c>
      <c r="F26" s="69">
        <f t="shared" si="1"/>
        <v>12.59</v>
      </c>
      <c r="G26" s="69">
        <f t="shared" si="1"/>
        <v>16.46</v>
      </c>
      <c r="H26" s="69">
        <f t="shared" si="1"/>
        <v>23.24</v>
      </c>
      <c r="I26" s="69">
        <f t="shared" si="1"/>
        <v>6.29</v>
      </c>
      <c r="J26" s="69">
        <f t="shared" si="1"/>
        <v>0.57999999999999996</v>
      </c>
      <c r="K26" s="69">
        <f t="shared" si="0"/>
        <v>229.56000000000003</v>
      </c>
      <c r="L26" s="69">
        <f t="shared" si="2"/>
        <v>1197.71</v>
      </c>
      <c r="M26" s="36"/>
      <c r="N26" s="36"/>
      <c r="O26" s="36"/>
      <c r="P26" s="36"/>
    </row>
    <row r="27" spans="1:16">
      <c r="A27" s="71" t="s">
        <v>138</v>
      </c>
      <c r="B27" s="74">
        <f>ROUND((B21+B22+B23)/3,2)*I10</f>
        <v>0</v>
      </c>
      <c r="C27" s="68">
        <f t="shared" si="3"/>
        <v>0</v>
      </c>
      <c r="D27" s="75">
        <f>ROUND(($C27)*D$14,2)</f>
        <v>0</v>
      </c>
      <c r="E27" s="75">
        <f>ROUND(($C27)*E$14,2)</f>
        <v>0</v>
      </c>
      <c r="F27" s="75">
        <f>ROUND(($C27)*F$14,2)</f>
        <v>0</v>
      </c>
      <c r="G27" s="75">
        <f>ROUND(($C27)*G$14,2)</f>
        <v>0</v>
      </c>
      <c r="H27" s="75"/>
      <c r="I27" s="75"/>
      <c r="J27" s="75">
        <f>ROUND(($C27)*J$14,2)</f>
        <v>0</v>
      </c>
      <c r="K27" s="69">
        <f t="shared" si="0"/>
        <v>0</v>
      </c>
      <c r="L27" s="69">
        <f t="shared" si="2"/>
        <v>0</v>
      </c>
      <c r="M27" s="36"/>
      <c r="N27" s="72"/>
      <c r="O27" s="36"/>
      <c r="P27" s="36"/>
    </row>
    <row r="28" spans="1:16">
      <c r="A28" s="36"/>
      <c r="B28" s="72"/>
      <c r="C28" s="72">
        <f>SUM(C15:C27)</f>
        <v>11617.799999999997</v>
      </c>
      <c r="D28" s="72"/>
      <c r="E28" s="72"/>
      <c r="F28" s="72"/>
      <c r="G28" s="76"/>
      <c r="H28" s="72"/>
      <c r="I28" s="72"/>
      <c r="J28" s="72"/>
      <c r="K28" s="36"/>
      <c r="L28" s="77">
        <f>SUM(L15:L27)</f>
        <v>14372.519999999997</v>
      </c>
      <c r="M28" s="36"/>
      <c r="N28" s="36"/>
      <c r="O28" s="36"/>
      <c r="P28" s="36"/>
    </row>
    <row r="29" spans="1:16">
      <c r="A29" s="36"/>
      <c r="B29" s="36"/>
      <c r="C29" s="36"/>
      <c r="D29" s="36"/>
      <c r="E29" s="36"/>
      <c r="F29" s="36"/>
      <c r="G29" s="36"/>
      <c r="H29" s="36"/>
      <c r="I29" s="36"/>
      <c r="J29" s="36"/>
      <c r="K29" s="78" t="s">
        <v>139</v>
      </c>
      <c r="L29" s="79">
        <f>C28*C30*C31/1000</f>
        <v>33.668384399999987</v>
      </c>
      <c r="M29" s="72"/>
      <c r="N29" s="72"/>
      <c r="O29" s="36"/>
      <c r="P29" s="36"/>
    </row>
    <row r="30" spans="1:16">
      <c r="A30" s="80" t="s">
        <v>140</v>
      </c>
      <c r="B30" s="81" t="s">
        <v>141</v>
      </c>
      <c r="C30" s="81">
        <v>0.63</v>
      </c>
      <c r="D30" s="72"/>
      <c r="E30" s="36"/>
      <c r="F30" s="36"/>
      <c r="G30" s="36"/>
      <c r="H30" s="36"/>
      <c r="I30" s="36"/>
      <c r="J30" s="36"/>
      <c r="K30" s="78"/>
      <c r="L30" s="79"/>
      <c r="M30" s="36"/>
      <c r="N30" s="36"/>
      <c r="O30" s="36"/>
      <c r="P30" s="36"/>
    </row>
    <row r="31" spans="1:16">
      <c r="A31" s="81"/>
      <c r="B31" s="81" t="s">
        <v>142</v>
      </c>
      <c r="C31" s="81">
        <v>4.5999999999999996</v>
      </c>
      <c r="D31" s="36"/>
      <c r="E31" s="36"/>
      <c r="F31" s="36"/>
      <c r="G31" s="36"/>
      <c r="H31" s="36"/>
      <c r="I31" s="36"/>
      <c r="J31" s="36"/>
      <c r="K31" s="36"/>
      <c r="L31" s="36"/>
      <c r="M31" s="36"/>
      <c r="N31" s="36"/>
      <c r="O31" s="36"/>
      <c r="P31" s="36"/>
    </row>
    <row r="32" spans="1:16">
      <c r="A32" s="36"/>
      <c r="B32" s="36"/>
      <c r="C32" s="36"/>
      <c r="D32" s="36"/>
      <c r="E32" s="36"/>
      <c r="F32" s="36"/>
      <c r="G32" s="36"/>
      <c r="H32" s="36"/>
      <c r="I32" s="36"/>
      <c r="J32" s="36"/>
      <c r="K32" s="36"/>
      <c r="L32" s="72"/>
      <c r="M32" s="36"/>
      <c r="N32" s="36"/>
      <c r="O32" s="36"/>
      <c r="P32" s="36"/>
    </row>
    <row r="33" spans="1:16">
      <c r="A33" s="82"/>
      <c r="B33" s="83"/>
      <c r="C33" s="36"/>
      <c r="D33" s="36"/>
      <c r="E33" s="36"/>
      <c r="F33" s="36"/>
      <c r="G33" s="36"/>
      <c r="H33" s="36"/>
      <c r="I33" s="36"/>
      <c r="J33" s="36"/>
      <c r="K33" s="36"/>
      <c r="L33" s="84"/>
      <c r="M33" s="36"/>
      <c r="N33" s="36"/>
      <c r="O33" s="36"/>
      <c r="P33" s="36"/>
    </row>
    <row r="34" spans="1:16">
      <c r="A34" s="85"/>
      <c r="B34" s="85"/>
      <c r="C34" s="85"/>
      <c r="D34" s="85"/>
      <c r="E34" s="85"/>
      <c r="F34" s="85"/>
      <c r="G34" s="85"/>
      <c r="H34" s="85"/>
      <c r="I34" s="85"/>
      <c r="J34" s="85"/>
      <c r="K34" s="85"/>
      <c r="L34" s="85"/>
      <c r="M34" s="86"/>
      <c r="N34" s="86"/>
      <c r="O34" s="86"/>
      <c r="P34" s="86"/>
    </row>
    <row r="35" spans="1:16">
      <c r="A35" s="86"/>
      <c r="B35" s="87"/>
      <c r="C35" s="86"/>
      <c r="D35" s="86"/>
      <c r="E35" s="86"/>
      <c r="F35" s="86"/>
      <c r="G35" s="86"/>
      <c r="H35" s="86"/>
      <c r="I35" s="86"/>
      <c r="J35" s="86"/>
      <c r="K35" s="86"/>
      <c r="L35" s="86"/>
      <c r="M35" s="86"/>
      <c r="N35" s="86"/>
      <c r="O35" s="86"/>
      <c r="P35" s="86"/>
    </row>
    <row r="36" spans="1:16">
      <c r="A36" s="86"/>
      <c r="B36" s="87"/>
      <c r="C36" s="86"/>
      <c r="D36" s="86"/>
      <c r="E36" s="86"/>
      <c r="F36" s="86"/>
      <c r="G36" s="86"/>
      <c r="H36" s="86"/>
      <c r="I36" s="86"/>
      <c r="J36" s="86"/>
      <c r="K36" s="86"/>
      <c r="L36" s="86"/>
      <c r="M36" s="86"/>
      <c r="N36" s="86"/>
      <c r="O36" s="86"/>
      <c r="P36" s="86"/>
    </row>
  </sheetData>
  <mergeCells count="1">
    <mergeCell ref="A13:A14"/>
  </mergeCells>
  <pageMargins left="0.78749999999999998" right="0.78749999999999998" top="1.2194444444444399" bottom="1.05277777777778" header="0.78749999999999998" footer="0.78749999999999998"/>
  <pageSetup paperSize="9" scale="87" orientation="portrait" horizontalDpi="300" verticalDpi="300"/>
  <headerFooter>
    <oddHeader>&amp;L&amp;"Times New Roman,Standard"&amp;12&amp;KffffffAdresse Antragsteller</oddHeader>
    <oddFooter>&amp;C&amp;"Times New Roman,Standard"&amp;12&amp;KffffffSeite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074B"/>
  </sheetPr>
  <dimension ref="A1:Q38"/>
  <sheetViews>
    <sheetView topLeftCell="A12" zoomScaleNormal="100" zoomScalePageLayoutView="120" workbookViewId="0">
      <selection activeCell="O27" sqref="O27"/>
    </sheetView>
  </sheetViews>
  <sheetFormatPr baseColWidth="10" defaultColWidth="11.5703125" defaultRowHeight="15"/>
  <sheetData>
    <row r="1" spans="1:17">
      <c r="A1" s="32" t="s">
        <v>94</v>
      </c>
      <c r="B1" s="33"/>
      <c r="C1" s="33"/>
      <c r="D1" s="33"/>
      <c r="E1" s="32" t="s">
        <v>95</v>
      </c>
      <c r="F1" s="35">
        <v>2025</v>
      </c>
      <c r="G1" s="33"/>
      <c r="H1" s="33"/>
      <c r="I1" s="33"/>
      <c r="J1" s="33"/>
      <c r="K1" s="33"/>
      <c r="L1" s="33"/>
      <c r="M1" s="33"/>
      <c r="N1" s="33"/>
      <c r="O1" s="33"/>
      <c r="P1" s="33"/>
      <c r="Q1" s="33"/>
    </row>
    <row r="2" spans="1:17">
      <c r="A2" s="32"/>
      <c r="B2" s="33"/>
      <c r="C2" s="32"/>
      <c r="D2" s="32"/>
      <c r="E2" s="35"/>
      <c r="F2" s="33"/>
      <c r="G2" s="33"/>
      <c r="H2" s="33"/>
      <c r="I2" s="33"/>
      <c r="J2" s="33"/>
      <c r="K2" s="33"/>
      <c r="L2" s="33"/>
      <c r="M2" s="33"/>
      <c r="N2" s="33"/>
      <c r="O2" s="33"/>
      <c r="P2" s="33"/>
      <c r="Q2" s="33"/>
    </row>
    <row r="3" spans="1:17">
      <c r="A3" s="36" t="s">
        <v>96</v>
      </c>
      <c r="B3" s="37" t="s">
        <v>97</v>
      </c>
      <c r="C3" s="36"/>
      <c r="D3" s="36"/>
      <c r="E3" s="36"/>
      <c r="F3" s="36" t="s">
        <v>98</v>
      </c>
      <c r="G3" s="38" t="s">
        <v>290</v>
      </c>
      <c r="H3" s="36"/>
      <c r="I3" s="39"/>
      <c r="J3" s="36"/>
      <c r="K3" s="36"/>
      <c r="L3" s="36"/>
      <c r="M3" s="36"/>
      <c r="N3" s="36"/>
      <c r="O3" s="36"/>
      <c r="P3" s="36"/>
      <c r="Q3" s="36"/>
    </row>
    <row r="4" spans="1:17">
      <c r="A4" s="36" t="s">
        <v>99</v>
      </c>
      <c r="B4" s="40"/>
      <c r="C4" s="36"/>
      <c r="D4" s="36"/>
      <c r="E4" s="36"/>
      <c r="F4" s="36" t="s">
        <v>100</v>
      </c>
      <c r="G4" s="38" t="s">
        <v>143</v>
      </c>
      <c r="H4" s="36"/>
      <c r="I4" s="39"/>
      <c r="J4" s="36"/>
      <c r="K4" s="36"/>
      <c r="L4" s="36"/>
      <c r="M4" s="36"/>
      <c r="N4" s="36"/>
      <c r="O4" s="36"/>
      <c r="P4" s="36"/>
      <c r="Q4" s="36"/>
    </row>
    <row r="5" spans="1:17">
      <c r="A5" s="36" t="s">
        <v>102</v>
      </c>
      <c r="B5" s="41"/>
      <c r="C5" s="39"/>
      <c r="D5" s="36"/>
      <c r="E5" s="36"/>
      <c r="F5" s="36" t="s">
        <v>103</v>
      </c>
      <c r="G5" s="36"/>
      <c r="H5" s="38"/>
      <c r="I5" s="42"/>
      <c r="J5" s="36"/>
      <c r="K5" s="36"/>
      <c r="L5" s="36"/>
      <c r="M5" s="36"/>
      <c r="N5" s="36"/>
      <c r="O5" s="36"/>
      <c r="P5" s="36"/>
      <c r="Q5" s="36"/>
    </row>
    <row r="6" spans="1:17">
      <c r="A6" s="36" t="s">
        <v>104</v>
      </c>
      <c r="B6" s="41">
        <v>10</v>
      </c>
      <c r="C6" s="36"/>
      <c r="D6" s="36"/>
      <c r="E6" s="36"/>
      <c r="F6" s="36" t="s">
        <v>105</v>
      </c>
      <c r="G6" s="36"/>
      <c r="H6" s="43">
        <v>5</v>
      </c>
      <c r="I6" s="44" t="s">
        <v>106</v>
      </c>
      <c r="J6" s="36"/>
      <c r="K6" s="45"/>
      <c r="L6" s="44"/>
      <c r="M6" s="36"/>
      <c r="N6" s="36"/>
      <c r="O6" s="36"/>
      <c r="P6" s="36"/>
      <c r="Q6" s="36"/>
    </row>
    <row r="7" spans="1:17">
      <c r="A7" s="36" t="s">
        <v>107</v>
      </c>
      <c r="B7" s="46">
        <v>5</v>
      </c>
      <c r="C7" s="47"/>
      <c r="D7" s="36"/>
      <c r="E7" s="36"/>
      <c r="G7" s="36"/>
      <c r="H7" s="88"/>
      <c r="I7" s="44" t="s">
        <v>106</v>
      </c>
      <c r="J7" s="36"/>
      <c r="K7" s="36"/>
      <c r="L7" s="36"/>
      <c r="M7" s="36"/>
      <c r="N7" s="36"/>
      <c r="O7" s="36"/>
      <c r="P7" s="36"/>
      <c r="Q7" s="36"/>
    </row>
    <row r="8" spans="1:17">
      <c r="A8" s="36"/>
      <c r="B8" s="37"/>
      <c r="C8" s="47"/>
      <c r="D8" s="36"/>
      <c r="E8" s="36"/>
      <c r="F8" s="36"/>
      <c r="G8" s="36"/>
      <c r="H8" s="36"/>
      <c r="I8" s="48"/>
      <c r="J8" s="36"/>
      <c r="K8" s="36"/>
      <c r="L8" s="36"/>
      <c r="M8" s="36"/>
      <c r="N8" s="36"/>
      <c r="O8" s="36"/>
      <c r="P8" s="36"/>
      <c r="Q8" s="36"/>
    </row>
    <row r="9" spans="1:17">
      <c r="A9" s="36" t="s">
        <v>108</v>
      </c>
      <c r="B9" s="49" t="s">
        <v>109</v>
      </c>
      <c r="C9" s="47"/>
      <c r="D9" s="36"/>
      <c r="E9" s="36"/>
      <c r="F9" s="36" t="s">
        <v>110</v>
      </c>
      <c r="G9" s="36"/>
      <c r="H9" s="36"/>
      <c r="I9" s="50">
        <f>E14+F14+G14+H14+I14+J14+K14</f>
        <v>0.23710000000000001</v>
      </c>
      <c r="J9" s="36"/>
      <c r="K9" s="36"/>
      <c r="L9" s="36"/>
      <c r="M9" s="36"/>
      <c r="N9" s="36"/>
      <c r="O9" s="36"/>
      <c r="P9" s="36"/>
      <c r="Q9" s="36"/>
    </row>
    <row r="10" spans="1:17">
      <c r="A10" s="36" t="s">
        <v>111</v>
      </c>
      <c r="B10" s="43"/>
      <c r="C10" s="36"/>
      <c r="D10" s="36"/>
      <c r="E10" s="36"/>
      <c r="F10" s="36" t="s">
        <v>112</v>
      </c>
      <c r="G10" s="36"/>
      <c r="H10" s="36"/>
      <c r="I10" s="51">
        <v>0.74350000000000005</v>
      </c>
      <c r="J10" s="52"/>
      <c r="K10" s="36"/>
      <c r="L10" s="36"/>
      <c r="M10" s="36"/>
      <c r="N10" s="36"/>
      <c r="O10" s="36"/>
      <c r="P10" s="36"/>
      <c r="Q10" s="36"/>
    </row>
    <row r="11" spans="1:17">
      <c r="A11" s="36" t="s">
        <v>113</v>
      </c>
      <c r="B11" s="43"/>
      <c r="C11" s="36"/>
      <c r="D11" s="36"/>
      <c r="E11" s="36"/>
      <c r="F11" s="36" t="s">
        <v>114</v>
      </c>
      <c r="G11" s="36"/>
      <c r="H11" s="42"/>
      <c r="I11" s="53"/>
      <c r="J11" s="36"/>
      <c r="K11" s="36"/>
      <c r="L11" s="36"/>
      <c r="M11" s="36"/>
      <c r="N11" s="36"/>
      <c r="O11" s="36"/>
      <c r="P11" s="36"/>
      <c r="Q11" s="36"/>
    </row>
    <row r="12" spans="1:17">
      <c r="A12" s="36"/>
      <c r="B12" s="36"/>
      <c r="C12" s="36"/>
      <c r="D12" s="36"/>
      <c r="E12" s="36"/>
      <c r="F12" s="36"/>
      <c r="G12" s="36"/>
      <c r="H12" s="36"/>
      <c r="I12" s="36"/>
      <c r="J12" s="36"/>
      <c r="K12" s="36"/>
      <c r="L12" s="36"/>
      <c r="M12" s="36"/>
      <c r="N12" s="36"/>
      <c r="O12" s="36"/>
      <c r="P12" s="36"/>
      <c r="Q12" s="36"/>
    </row>
    <row r="13" spans="1:17" ht="48">
      <c r="A13" s="179" t="s">
        <v>115</v>
      </c>
      <c r="B13" s="54" t="s">
        <v>116</v>
      </c>
      <c r="C13" s="54" t="s">
        <v>117</v>
      </c>
      <c r="D13" s="54" t="s">
        <v>144</v>
      </c>
      <c r="E13" s="54" t="s">
        <v>118</v>
      </c>
      <c r="F13" s="54" t="s">
        <v>119</v>
      </c>
      <c r="G13" s="54" t="s">
        <v>120</v>
      </c>
      <c r="H13" s="55" t="s">
        <v>121</v>
      </c>
      <c r="I13" s="56" t="s">
        <v>122</v>
      </c>
      <c r="J13" s="56" t="s">
        <v>123</v>
      </c>
      <c r="K13" s="57" t="s">
        <v>124</v>
      </c>
      <c r="L13" s="57" t="s">
        <v>125</v>
      </c>
      <c r="M13" s="58" t="s">
        <v>84</v>
      </c>
      <c r="N13" s="35"/>
      <c r="O13" s="35"/>
      <c r="P13" s="35"/>
      <c r="Q13" s="35"/>
    </row>
    <row r="14" spans="1:17">
      <c r="A14" s="179"/>
      <c r="B14" s="59">
        <v>40</v>
      </c>
      <c r="C14" s="60"/>
      <c r="D14" s="60"/>
      <c r="E14" s="61">
        <v>8.3000000000000004E-2</v>
      </c>
      <c r="F14" s="61">
        <v>9.2999999999999999E-2</v>
      </c>
      <c r="G14" s="61">
        <v>1.2999999999999999E-2</v>
      </c>
      <c r="H14" s="62">
        <v>1.7000000000000001E-2</v>
      </c>
      <c r="I14" s="63">
        <v>2.4E-2</v>
      </c>
      <c r="J14" s="61">
        <v>6.4999999999999997E-3</v>
      </c>
      <c r="K14" s="61">
        <v>5.9999999999999995E-4</v>
      </c>
      <c r="L14" s="64">
        <f t="shared" ref="L14:L27" si="0">SUM(E14:K14)</f>
        <v>0.23710000000000001</v>
      </c>
      <c r="M14" s="65"/>
      <c r="N14" s="35"/>
      <c r="O14" s="35"/>
      <c r="P14" s="35"/>
      <c r="Q14" s="35"/>
    </row>
    <row r="15" spans="1:17">
      <c r="A15" s="66" t="s">
        <v>126</v>
      </c>
      <c r="B15" s="67">
        <f t="shared" ref="B15:B26" si="1">4858.48*1.1</f>
        <v>5344.3279999999995</v>
      </c>
      <c r="C15" s="68">
        <f t="shared" ref="C15:C27" si="2">ROUND(B15/$B$14*$H$6,2)</f>
        <v>668.04</v>
      </c>
      <c r="D15" s="68">
        <v>100</v>
      </c>
      <c r="E15" s="69">
        <f t="shared" ref="E15:K26" si="3">ROUND(($C15-$D15)*E$14,2)</f>
        <v>47.15</v>
      </c>
      <c r="F15" s="69">
        <f t="shared" si="3"/>
        <v>52.83</v>
      </c>
      <c r="G15" s="69">
        <f t="shared" si="3"/>
        <v>7.38</v>
      </c>
      <c r="H15" s="69">
        <f t="shared" si="3"/>
        <v>9.66</v>
      </c>
      <c r="I15" s="69">
        <f t="shared" si="3"/>
        <v>13.63</v>
      </c>
      <c r="J15" s="69">
        <f t="shared" si="3"/>
        <v>3.69</v>
      </c>
      <c r="K15" s="69">
        <f t="shared" si="3"/>
        <v>0.34</v>
      </c>
      <c r="L15" s="69">
        <f t="shared" si="0"/>
        <v>134.67999999999998</v>
      </c>
      <c r="M15" s="69">
        <f t="shared" ref="M15:M27" si="4">C15+L15</f>
        <v>802.71999999999991</v>
      </c>
      <c r="N15" s="70"/>
      <c r="O15" s="36"/>
      <c r="P15" s="36"/>
      <c r="Q15" s="36"/>
    </row>
    <row r="16" spans="1:17">
      <c r="A16" s="71" t="s">
        <v>127</v>
      </c>
      <c r="B16" s="67">
        <f t="shared" si="1"/>
        <v>5344.3279999999995</v>
      </c>
      <c r="C16" s="68">
        <f t="shared" si="2"/>
        <v>668.04</v>
      </c>
      <c r="D16" s="68">
        <v>100</v>
      </c>
      <c r="E16" s="69">
        <f t="shared" si="3"/>
        <v>47.15</v>
      </c>
      <c r="F16" s="69">
        <f t="shared" si="3"/>
        <v>52.83</v>
      </c>
      <c r="G16" s="69">
        <f t="shared" si="3"/>
        <v>7.38</v>
      </c>
      <c r="H16" s="69">
        <f t="shared" si="3"/>
        <v>9.66</v>
      </c>
      <c r="I16" s="69">
        <f t="shared" si="3"/>
        <v>13.63</v>
      </c>
      <c r="J16" s="69">
        <f t="shared" si="3"/>
        <v>3.69</v>
      </c>
      <c r="K16" s="69">
        <f t="shared" si="3"/>
        <v>0.34</v>
      </c>
      <c r="L16" s="69">
        <f t="shared" si="0"/>
        <v>134.67999999999998</v>
      </c>
      <c r="M16" s="69">
        <f t="shared" si="4"/>
        <v>802.71999999999991</v>
      </c>
      <c r="N16" s="36"/>
      <c r="O16" s="72"/>
      <c r="P16" s="36"/>
      <c r="Q16" s="36"/>
    </row>
    <row r="17" spans="1:17">
      <c r="A17" s="71" t="s">
        <v>128</v>
      </c>
      <c r="B17" s="67">
        <f t="shared" si="1"/>
        <v>5344.3279999999995</v>
      </c>
      <c r="C17" s="68">
        <f t="shared" si="2"/>
        <v>668.04</v>
      </c>
      <c r="D17" s="68">
        <v>100</v>
      </c>
      <c r="E17" s="69">
        <f t="shared" si="3"/>
        <v>47.15</v>
      </c>
      <c r="F17" s="69">
        <f t="shared" si="3"/>
        <v>52.83</v>
      </c>
      <c r="G17" s="69">
        <f t="shared" si="3"/>
        <v>7.38</v>
      </c>
      <c r="H17" s="69">
        <f t="shared" si="3"/>
        <v>9.66</v>
      </c>
      <c r="I17" s="69">
        <f t="shared" si="3"/>
        <v>13.63</v>
      </c>
      <c r="J17" s="69">
        <f t="shared" si="3"/>
        <v>3.69</v>
      </c>
      <c r="K17" s="69">
        <f t="shared" si="3"/>
        <v>0.34</v>
      </c>
      <c r="L17" s="69">
        <f t="shared" si="0"/>
        <v>134.67999999999998</v>
      </c>
      <c r="M17" s="69">
        <f t="shared" si="4"/>
        <v>802.71999999999991</v>
      </c>
      <c r="N17" s="36"/>
      <c r="O17" s="72"/>
      <c r="P17" s="36"/>
      <c r="Q17" s="73"/>
    </row>
    <row r="18" spans="1:17">
      <c r="A18" s="71" t="s">
        <v>129</v>
      </c>
      <c r="B18" s="67">
        <f t="shared" si="1"/>
        <v>5344.3279999999995</v>
      </c>
      <c r="C18" s="68">
        <f t="shared" si="2"/>
        <v>668.04</v>
      </c>
      <c r="D18" s="68">
        <v>100</v>
      </c>
      <c r="E18" s="69">
        <f t="shared" si="3"/>
        <v>47.15</v>
      </c>
      <c r="F18" s="69">
        <f t="shared" si="3"/>
        <v>52.83</v>
      </c>
      <c r="G18" s="69">
        <f t="shared" si="3"/>
        <v>7.38</v>
      </c>
      <c r="H18" s="69">
        <f t="shared" si="3"/>
        <v>9.66</v>
      </c>
      <c r="I18" s="69">
        <f t="shared" si="3"/>
        <v>13.63</v>
      </c>
      <c r="J18" s="69">
        <f t="shared" si="3"/>
        <v>3.69</v>
      </c>
      <c r="K18" s="69">
        <f t="shared" si="3"/>
        <v>0.34</v>
      </c>
      <c r="L18" s="69">
        <f t="shared" si="0"/>
        <v>134.67999999999998</v>
      </c>
      <c r="M18" s="69">
        <f t="shared" si="4"/>
        <v>802.71999999999991</v>
      </c>
      <c r="N18" s="36"/>
      <c r="O18" s="36"/>
      <c r="P18" s="36"/>
      <c r="Q18" s="73"/>
    </row>
    <row r="19" spans="1:17">
      <c r="A19" s="71" t="s">
        <v>130</v>
      </c>
      <c r="B19" s="67">
        <f t="shared" si="1"/>
        <v>5344.3279999999995</v>
      </c>
      <c r="C19" s="68">
        <f t="shared" si="2"/>
        <v>668.04</v>
      </c>
      <c r="D19" s="68">
        <v>100</v>
      </c>
      <c r="E19" s="69">
        <f t="shared" si="3"/>
        <v>47.15</v>
      </c>
      <c r="F19" s="69">
        <f t="shared" si="3"/>
        <v>52.83</v>
      </c>
      <c r="G19" s="69">
        <f t="shared" si="3"/>
        <v>7.38</v>
      </c>
      <c r="H19" s="69">
        <f t="shared" si="3"/>
        <v>9.66</v>
      </c>
      <c r="I19" s="69">
        <f t="shared" si="3"/>
        <v>13.63</v>
      </c>
      <c r="J19" s="69">
        <f t="shared" si="3"/>
        <v>3.69</v>
      </c>
      <c r="K19" s="69">
        <f t="shared" si="3"/>
        <v>0.34</v>
      </c>
      <c r="L19" s="69">
        <f t="shared" si="0"/>
        <v>134.67999999999998</v>
      </c>
      <c r="M19" s="69">
        <f t="shared" si="4"/>
        <v>802.71999999999991</v>
      </c>
      <c r="N19" s="36"/>
      <c r="O19" s="36"/>
      <c r="P19" s="36"/>
      <c r="Q19" s="73"/>
    </row>
    <row r="20" spans="1:17">
      <c r="A20" s="71" t="s">
        <v>131</v>
      </c>
      <c r="B20" s="67">
        <f t="shared" si="1"/>
        <v>5344.3279999999995</v>
      </c>
      <c r="C20" s="68">
        <f t="shared" si="2"/>
        <v>668.04</v>
      </c>
      <c r="D20" s="68">
        <v>100</v>
      </c>
      <c r="E20" s="69">
        <f t="shared" si="3"/>
        <v>47.15</v>
      </c>
      <c r="F20" s="69">
        <f t="shared" si="3"/>
        <v>52.83</v>
      </c>
      <c r="G20" s="69">
        <f t="shared" si="3"/>
        <v>7.38</v>
      </c>
      <c r="H20" s="69">
        <f t="shared" si="3"/>
        <v>9.66</v>
      </c>
      <c r="I20" s="69">
        <f t="shared" si="3"/>
        <v>13.63</v>
      </c>
      <c r="J20" s="69">
        <f t="shared" si="3"/>
        <v>3.69</v>
      </c>
      <c r="K20" s="69">
        <f t="shared" si="3"/>
        <v>0.34</v>
      </c>
      <c r="L20" s="69">
        <f t="shared" si="0"/>
        <v>134.67999999999998</v>
      </c>
      <c r="M20" s="69">
        <f t="shared" si="4"/>
        <v>802.71999999999991</v>
      </c>
      <c r="N20" s="36"/>
      <c r="O20" s="36"/>
      <c r="P20" s="36"/>
      <c r="Q20" s="73"/>
    </row>
    <row r="21" spans="1:17">
      <c r="A21" s="71" t="s">
        <v>132</v>
      </c>
      <c r="B21" s="67">
        <f t="shared" si="1"/>
        <v>5344.3279999999995</v>
      </c>
      <c r="C21" s="68">
        <f t="shared" si="2"/>
        <v>668.04</v>
      </c>
      <c r="D21" s="68">
        <v>100</v>
      </c>
      <c r="E21" s="69">
        <f t="shared" si="3"/>
        <v>47.15</v>
      </c>
      <c r="F21" s="69">
        <f t="shared" si="3"/>
        <v>52.83</v>
      </c>
      <c r="G21" s="69">
        <f t="shared" si="3"/>
        <v>7.38</v>
      </c>
      <c r="H21" s="69">
        <f t="shared" si="3"/>
        <v>9.66</v>
      </c>
      <c r="I21" s="69">
        <f t="shared" si="3"/>
        <v>13.63</v>
      </c>
      <c r="J21" s="69">
        <f t="shared" si="3"/>
        <v>3.69</v>
      </c>
      <c r="K21" s="69">
        <f t="shared" si="3"/>
        <v>0.34</v>
      </c>
      <c r="L21" s="69">
        <f t="shared" si="0"/>
        <v>134.67999999999998</v>
      </c>
      <c r="M21" s="69">
        <f t="shared" si="4"/>
        <v>802.71999999999991</v>
      </c>
      <c r="N21" s="36"/>
      <c r="O21" s="36"/>
      <c r="P21" s="36"/>
      <c r="Q21" s="36"/>
    </row>
    <row r="22" spans="1:17">
      <c r="A22" s="71" t="s">
        <v>133</v>
      </c>
      <c r="B22" s="67">
        <f t="shared" si="1"/>
        <v>5344.3279999999995</v>
      </c>
      <c r="C22" s="68">
        <f t="shared" si="2"/>
        <v>668.04</v>
      </c>
      <c r="D22" s="68">
        <v>100</v>
      </c>
      <c r="E22" s="69">
        <f t="shared" si="3"/>
        <v>47.15</v>
      </c>
      <c r="F22" s="69">
        <f t="shared" si="3"/>
        <v>52.83</v>
      </c>
      <c r="G22" s="69">
        <f t="shared" si="3"/>
        <v>7.38</v>
      </c>
      <c r="H22" s="69">
        <f t="shared" si="3"/>
        <v>9.66</v>
      </c>
      <c r="I22" s="69">
        <f t="shared" si="3"/>
        <v>13.63</v>
      </c>
      <c r="J22" s="69">
        <f t="shared" si="3"/>
        <v>3.69</v>
      </c>
      <c r="K22" s="69">
        <f t="shared" si="3"/>
        <v>0.34</v>
      </c>
      <c r="L22" s="69">
        <f t="shared" si="0"/>
        <v>134.67999999999998</v>
      </c>
      <c r="M22" s="69">
        <f t="shared" si="4"/>
        <v>802.71999999999991</v>
      </c>
      <c r="N22" s="36"/>
      <c r="O22" s="36"/>
      <c r="P22" s="36"/>
      <c r="Q22" s="36"/>
    </row>
    <row r="23" spans="1:17">
      <c r="A23" s="71" t="s">
        <v>134</v>
      </c>
      <c r="B23" s="67">
        <f t="shared" si="1"/>
        <v>5344.3279999999995</v>
      </c>
      <c r="C23" s="68">
        <f t="shared" si="2"/>
        <v>668.04</v>
      </c>
      <c r="D23" s="68">
        <v>100</v>
      </c>
      <c r="E23" s="69">
        <f t="shared" si="3"/>
        <v>47.15</v>
      </c>
      <c r="F23" s="69">
        <f t="shared" si="3"/>
        <v>52.83</v>
      </c>
      <c r="G23" s="69">
        <f t="shared" si="3"/>
        <v>7.38</v>
      </c>
      <c r="H23" s="69">
        <f t="shared" si="3"/>
        <v>9.66</v>
      </c>
      <c r="I23" s="69">
        <f t="shared" si="3"/>
        <v>13.63</v>
      </c>
      <c r="J23" s="69">
        <f t="shared" si="3"/>
        <v>3.69</v>
      </c>
      <c r="K23" s="69">
        <f t="shared" si="3"/>
        <v>0.34</v>
      </c>
      <c r="L23" s="69">
        <f t="shared" si="0"/>
        <v>134.67999999999998</v>
      </c>
      <c r="M23" s="69">
        <f t="shared" si="4"/>
        <v>802.71999999999991</v>
      </c>
      <c r="N23" s="36"/>
      <c r="O23" s="36"/>
      <c r="P23" s="36"/>
      <c r="Q23" s="36"/>
    </row>
    <row r="24" spans="1:17">
      <c r="A24" s="71" t="s">
        <v>135</v>
      </c>
      <c r="B24" s="67">
        <f t="shared" si="1"/>
        <v>5344.3279999999995</v>
      </c>
      <c r="C24" s="68">
        <f t="shared" si="2"/>
        <v>668.04</v>
      </c>
      <c r="D24" s="68">
        <v>100</v>
      </c>
      <c r="E24" s="69">
        <f t="shared" si="3"/>
        <v>47.15</v>
      </c>
      <c r="F24" s="69">
        <f t="shared" si="3"/>
        <v>52.83</v>
      </c>
      <c r="G24" s="69">
        <f t="shared" si="3"/>
        <v>7.38</v>
      </c>
      <c r="H24" s="69">
        <f t="shared" si="3"/>
        <v>9.66</v>
      </c>
      <c r="I24" s="69">
        <f t="shared" si="3"/>
        <v>13.63</v>
      </c>
      <c r="J24" s="69">
        <f t="shared" si="3"/>
        <v>3.69</v>
      </c>
      <c r="K24" s="69">
        <f t="shared" si="3"/>
        <v>0.34</v>
      </c>
      <c r="L24" s="69">
        <f t="shared" si="0"/>
        <v>134.67999999999998</v>
      </c>
      <c r="M24" s="69">
        <f t="shared" si="4"/>
        <v>802.71999999999991</v>
      </c>
      <c r="N24" s="36"/>
      <c r="O24" s="36"/>
      <c r="P24" s="36"/>
      <c r="Q24" s="36"/>
    </row>
    <row r="25" spans="1:17">
      <c r="A25" s="71" t="s">
        <v>136</v>
      </c>
      <c r="B25" s="67">
        <f t="shared" si="1"/>
        <v>5344.3279999999995</v>
      </c>
      <c r="C25" s="68">
        <f t="shared" si="2"/>
        <v>668.04</v>
      </c>
      <c r="D25" s="68">
        <v>100</v>
      </c>
      <c r="E25" s="69">
        <f t="shared" si="3"/>
        <v>47.15</v>
      </c>
      <c r="F25" s="69">
        <f t="shared" si="3"/>
        <v>52.83</v>
      </c>
      <c r="G25" s="69">
        <f t="shared" si="3"/>
        <v>7.38</v>
      </c>
      <c r="H25" s="69">
        <f t="shared" si="3"/>
        <v>9.66</v>
      </c>
      <c r="I25" s="69">
        <f t="shared" si="3"/>
        <v>13.63</v>
      </c>
      <c r="J25" s="69">
        <f t="shared" si="3"/>
        <v>3.69</v>
      </c>
      <c r="K25" s="69">
        <f t="shared" si="3"/>
        <v>0.34</v>
      </c>
      <c r="L25" s="69">
        <f t="shared" si="0"/>
        <v>134.67999999999998</v>
      </c>
      <c r="M25" s="69">
        <f t="shared" si="4"/>
        <v>802.71999999999991</v>
      </c>
      <c r="N25" s="36"/>
      <c r="O25" s="36"/>
      <c r="P25" s="36"/>
      <c r="Q25" s="36"/>
    </row>
    <row r="26" spans="1:17">
      <c r="A26" s="71" t="s">
        <v>137</v>
      </c>
      <c r="B26" s="67">
        <f t="shared" si="1"/>
        <v>5344.3279999999995</v>
      </c>
      <c r="C26" s="68">
        <f t="shared" si="2"/>
        <v>668.04</v>
      </c>
      <c r="D26" s="68">
        <v>100</v>
      </c>
      <c r="E26" s="69">
        <f t="shared" si="3"/>
        <v>47.15</v>
      </c>
      <c r="F26" s="69">
        <f t="shared" si="3"/>
        <v>52.83</v>
      </c>
      <c r="G26" s="69">
        <f t="shared" si="3"/>
        <v>7.38</v>
      </c>
      <c r="H26" s="69">
        <f t="shared" si="3"/>
        <v>9.66</v>
      </c>
      <c r="I26" s="69">
        <f t="shared" si="3"/>
        <v>13.63</v>
      </c>
      <c r="J26" s="69">
        <f t="shared" si="3"/>
        <v>3.69</v>
      </c>
      <c r="K26" s="69">
        <f t="shared" si="3"/>
        <v>0.34</v>
      </c>
      <c r="L26" s="69">
        <f t="shared" si="0"/>
        <v>134.67999999999998</v>
      </c>
      <c r="M26" s="69">
        <f t="shared" si="4"/>
        <v>802.71999999999991</v>
      </c>
      <c r="N26" s="36"/>
      <c r="O26" s="36"/>
      <c r="P26" s="36"/>
      <c r="Q26" s="36"/>
    </row>
    <row r="27" spans="1:17">
      <c r="A27" s="71" t="s">
        <v>138</v>
      </c>
      <c r="B27" s="74">
        <f>SUM(B21:B23)/3*I10</f>
        <v>3973.5078679999997</v>
      </c>
      <c r="C27" s="68">
        <f t="shared" si="2"/>
        <v>496.69</v>
      </c>
      <c r="D27" s="68"/>
      <c r="E27" s="75">
        <f>ROUND(($C27)*E$14,2)</f>
        <v>41.23</v>
      </c>
      <c r="F27" s="75">
        <f>ROUND(($C27)*F$14,2)</f>
        <v>46.19</v>
      </c>
      <c r="G27" s="75">
        <f>ROUND(($C27)*G$14,2)</f>
        <v>6.46</v>
      </c>
      <c r="H27" s="75">
        <f>ROUND(($C27)*H$14,2)</f>
        <v>8.44</v>
      </c>
      <c r="I27" s="75"/>
      <c r="J27" s="75"/>
      <c r="K27" s="75">
        <f>ROUND(($C27)*K$14,2)</f>
        <v>0.3</v>
      </c>
      <c r="L27" s="69">
        <f t="shared" si="0"/>
        <v>102.61999999999998</v>
      </c>
      <c r="M27" s="69">
        <f t="shared" si="4"/>
        <v>599.30999999999995</v>
      </c>
      <c r="N27" s="36"/>
      <c r="O27" s="72"/>
      <c r="P27" s="36"/>
      <c r="Q27" s="36"/>
    </row>
    <row r="28" spans="1:17">
      <c r="A28" s="36"/>
      <c r="B28" s="72"/>
      <c r="C28" s="72">
        <f>SUM(C15:C27)</f>
        <v>8513.17</v>
      </c>
      <c r="D28" s="72"/>
      <c r="E28" s="72"/>
      <c r="F28" s="72"/>
      <c r="G28" s="76"/>
      <c r="H28" s="72"/>
      <c r="I28" s="72"/>
      <c r="J28" s="72"/>
      <c r="K28" s="36"/>
      <c r="L28" s="36"/>
      <c r="M28" s="77">
        <f>SUM(M15:M27)</f>
        <v>10231.949999999999</v>
      </c>
      <c r="N28" s="36"/>
      <c r="O28" s="36"/>
      <c r="P28" s="36"/>
      <c r="Q28" s="36"/>
    </row>
    <row r="29" spans="1:17">
      <c r="A29" s="36"/>
      <c r="B29" s="36"/>
      <c r="C29" s="36"/>
      <c r="D29" s="36"/>
      <c r="E29" s="36"/>
      <c r="F29" s="36"/>
      <c r="G29" s="36"/>
      <c r="H29" s="36"/>
      <c r="I29" s="36"/>
      <c r="J29" s="36"/>
      <c r="K29" s="36"/>
      <c r="L29" s="78" t="s">
        <v>139</v>
      </c>
      <c r="M29" s="79">
        <f>C28*C30*C31/1000</f>
        <v>24.671166659999994</v>
      </c>
      <c r="N29" s="72"/>
      <c r="O29" s="36"/>
      <c r="P29" s="36"/>
      <c r="Q29" s="36"/>
    </row>
    <row r="30" spans="1:17">
      <c r="A30" s="80" t="s">
        <v>140</v>
      </c>
      <c r="B30" s="81" t="s">
        <v>141</v>
      </c>
      <c r="C30" s="89">
        <v>0.63</v>
      </c>
      <c r="D30" s="72"/>
      <c r="E30" s="36"/>
      <c r="F30" s="36"/>
      <c r="G30" s="36"/>
      <c r="H30" s="36"/>
      <c r="I30" s="36"/>
      <c r="J30" s="36"/>
      <c r="K30" s="36"/>
      <c r="L30" s="78"/>
      <c r="M30" s="79"/>
      <c r="N30" s="36"/>
      <c r="O30" s="36"/>
      <c r="P30" s="36"/>
      <c r="Q30" s="36"/>
    </row>
    <row r="31" spans="1:17">
      <c r="A31" s="81"/>
      <c r="B31" s="81" t="s">
        <v>142</v>
      </c>
      <c r="C31" s="89">
        <v>4.5999999999999996</v>
      </c>
      <c r="D31" s="36"/>
      <c r="E31" s="36"/>
      <c r="F31" s="36"/>
      <c r="G31" s="36"/>
      <c r="H31" s="36"/>
      <c r="I31" s="36"/>
      <c r="J31" s="36"/>
      <c r="K31" s="36"/>
      <c r="L31" s="36"/>
      <c r="M31" s="36"/>
      <c r="N31" s="36"/>
      <c r="O31" s="36"/>
      <c r="P31" s="36"/>
      <c r="Q31" s="36"/>
    </row>
    <row r="32" spans="1:17">
      <c r="A32" s="36"/>
      <c r="B32" s="36"/>
      <c r="C32" s="36"/>
      <c r="D32" s="36"/>
      <c r="E32" s="36"/>
      <c r="F32" s="36"/>
      <c r="G32" s="36"/>
      <c r="H32" s="36"/>
      <c r="I32" s="36"/>
      <c r="J32" s="36"/>
      <c r="K32" s="36"/>
      <c r="L32" s="72"/>
      <c r="M32" s="36"/>
      <c r="N32" s="36"/>
      <c r="O32" s="36"/>
      <c r="P32" s="36"/>
      <c r="Q32" s="36"/>
    </row>
    <row r="33" spans="1:17">
      <c r="A33" s="82"/>
      <c r="B33" s="83"/>
      <c r="C33" s="36"/>
      <c r="D33" s="36"/>
      <c r="E33" s="36"/>
      <c r="F33" s="36"/>
      <c r="G33" s="36"/>
      <c r="H33" s="36"/>
      <c r="I33" s="36"/>
      <c r="J33" s="36"/>
      <c r="K33" s="36"/>
      <c r="L33" s="84"/>
      <c r="M33" s="36"/>
      <c r="N33" s="36"/>
      <c r="O33" s="36"/>
      <c r="P33" s="36"/>
      <c r="Q33" s="36"/>
    </row>
    <row r="34" spans="1:17">
      <c r="A34" s="85"/>
      <c r="B34" s="85"/>
      <c r="C34" s="85"/>
      <c r="D34" s="85"/>
      <c r="E34" s="85"/>
      <c r="F34" s="85"/>
      <c r="G34" s="85"/>
      <c r="H34" s="85"/>
      <c r="I34" s="85"/>
      <c r="J34" s="85"/>
      <c r="K34" s="85"/>
      <c r="L34" s="85"/>
      <c r="M34" s="86"/>
      <c r="N34" s="86"/>
      <c r="O34" s="86"/>
      <c r="P34" s="86"/>
      <c r="Q34" s="86"/>
    </row>
    <row r="35" spans="1:17">
      <c r="A35" s="86"/>
      <c r="B35" s="86"/>
      <c r="C35" s="86"/>
      <c r="D35" s="86"/>
      <c r="E35" s="86"/>
      <c r="F35" s="86"/>
      <c r="G35" s="86"/>
      <c r="H35" s="86"/>
      <c r="I35" s="86"/>
      <c r="J35" s="86"/>
      <c r="K35" s="86"/>
      <c r="L35" s="90"/>
      <c r="M35" s="86"/>
      <c r="N35" s="86"/>
      <c r="O35" s="86"/>
      <c r="P35" s="86"/>
      <c r="Q35" s="86"/>
    </row>
    <row r="36" spans="1:17">
      <c r="A36" s="86"/>
      <c r="B36" s="87"/>
      <c r="C36" s="86"/>
      <c r="D36" s="86"/>
      <c r="E36" s="86"/>
      <c r="F36" s="86"/>
      <c r="G36" s="86"/>
      <c r="H36" s="86"/>
      <c r="I36" s="86"/>
      <c r="J36" s="86"/>
      <c r="K36" s="86"/>
      <c r="L36" s="86"/>
      <c r="M36" s="86"/>
      <c r="N36" s="86"/>
      <c r="O36" s="86"/>
      <c r="P36" s="86"/>
      <c r="Q36" s="86"/>
    </row>
    <row r="37" spans="1:17">
      <c r="A37" s="86"/>
      <c r="B37" s="87"/>
      <c r="C37" s="86"/>
      <c r="D37" s="86"/>
      <c r="E37" s="86"/>
      <c r="F37" s="86"/>
      <c r="G37" s="86"/>
      <c r="H37" s="86"/>
      <c r="I37" s="86"/>
      <c r="J37" s="86"/>
      <c r="K37" s="86"/>
      <c r="L37" s="86"/>
      <c r="M37" s="86"/>
      <c r="N37" s="86"/>
      <c r="O37" s="86"/>
      <c r="P37" s="86"/>
      <c r="Q37" s="86"/>
    </row>
    <row r="38" spans="1:17">
      <c r="A38" s="86"/>
      <c r="B38" s="87"/>
      <c r="C38" s="86"/>
      <c r="D38" s="86"/>
      <c r="E38" s="86"/>
      <c r="F38" s="86"/>
      <c r="G38" s="86"/>
      <c r="H38" s="86"/>
      <c r="I38" s="86"/>
      <c r="J38" s="86"/>
      <c r="K38" s="86"/>
      <c r="L38" s="86"/>
      <c r="M38" s="86"/>
      <c r="N38" s="86"/>
      <c r="O38" s="86"/>
      <c r="P38" s="86"/>
      <c r="Q38" s="86"/>
    </row>
  </sheetData>
  <mergeCells count="1">
    <mergeCell ref="A13:A14"/>
  </mergeCells>
  <pageMargins left="0.78749999999999998" right="0.78749999999999998" top="1.2194444444444399" bottom="1.05277777777778" header="0.78749999999999998" footer="0.78749999999999998"/>
  <pageSetup paperSize="9" scale="87" orientation="portrait" horizontalDpi="300" verticalDpi="300"/>
  <headerFooter>
    <oddHeader>&amp;L&amp;"Times New Roman,Standard"&amp;12&amp;KffffffAdresse Antragsteller</oddHeader>
    <oddFooter>&amp;C&amp;"Times New Roman,Standard"&amp;12&amp;KffffffSeite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30"/>
  <sheetViews>
    <sheetView zoomScaleNormal="100" zoomScalePageLayoutView="120" workbookViewId="0">
      <selection activeCell="F27" sqref="F27"/>
    </sheetView>
  </sheetViews>
  <sheetFormatPr baseColWidth="10" defaultColWidth="11.5703125" defaultRowHeight="15"/>
  <cols>
    <col min="1" max="1" width="45.140625" style="107" customWidth="1"/>
    <col min="2" max="2" width="15.7109375" style="107" customWidth="1"/>
    <col min="3" max="3" width="16.140625" style="107" customWidth="1"/>
    <col min="4" max="4" width="13.140625" style="107" customWidth="1"/>
    <col min="5" max="5" width="11.5703125" style="107"/>
    <col min="6" max="6" width="23" style="107" customWidth="1"/>
    <col min="7" max="16384" width="11.5703125" style="107"/>
  </cols>
  <sheetData>
    <row r="1" spans="1:6">
      <c r="D1" s="180" t="s">
        <v>145</v>
      </c>
      <c r="E1" s="181"/>
      <c r="F1" s="132" t="s">
        <v>146</v>
      </c>
    </row>
    <row r="2" spans="1:6">
      <c r="A2" s="15" t="s">
        <v>70</v>
      </c>
      <c r="B2" s="15" t="s">
        <v>283</v>
      </c>
      <c r="C2" s="15" t="s">
        <v>285</v>
      </c>
      <c r="D2" s="15" t="s">
        <v>147</v>
      </c>
      <c r="E2" s="15" t="s">
        <v>148</v>
      </c>
      <c r="F2" s="133" t="s">
        <v>149</v>
      </c>
    </row>
    <row r="3" spans="1:6">
      <c r="A3" s="23" t="s">
        <v>71</v>
      </c>
      <c r="B3" s="17">
        <f>SUM(B4:B5)</f>
        <v>24662.809551059996</v>
      </c>
      <c r="C3" s="17">
        <f>SUM(C4:C5)</f>
        <v>0</v>
      </c>
      <c r="D3" s="136">
        <f>B3-C3</f>
        <v>24662.809551059996</v>
      </c>
      <c r="E3" s="130">
        <f>C3/B3</f>
        <v>0</v>
      </c>
      <c r="F3" s="131" t="str">
        <f>IF(E3&gt;120%,"Umwidmung erforderlich"," ")</f>
        <v xml:space="preserve"> </v>
      </c>
    </row>
    <row r="4" spans="1:6">
      <c r="A4" s="18" t="s">
        <v>72</v>
      </c>
      <c r="B4" s="19">
        <v>14406.188384399997</v>
      </c>
      <c r="C4" s="138">
        <f>SUMIF('Belegliste Budgetcontrolling2'!A:A,A4,'Belegliste Budgetcontrolling2'!F:F)</f>
        <v>0</v>
      </c>
      <c r="D4" s="135">
        <f>B4-C4</f>
        <v>14406.188384399997</v>
      </c>
      <c r="E4" s="130">
        <f t="shared" ref="E4:E16" si="0">C4/B4</f>
        <v>0</v>
      </c>
      <c r="F4" s="131" t="str">
        <f t="shared" ref="F4:F16" si="1">IF(E4&gt;120%,"Umwidmung erforderlich"," ")</f>
        <v xml:space="preserve"> </v>
      </c>
    </row>
    <row r="5" spans="1:6">
      <c r="A5" s="20" t="s">
        <v>73</v>
      </c>
      <c r="B5" s="21">
        <v>10256.621166659999</v>
      </c>
      <c r="C5" s="138">
        <f>SUMIF('Belegliste Budgetcontrolling2'!A:A,A5,'Belegliste Budgetcontrolling2'!F:F)</f>
        <v>0</v>
      </c>
      <c r="D5" s="135">
        <f t="shared" ref="D5:D16" si="2">B5-C5</f>
        <v>10256.621166659999</v>
      </c>
      <c r="E5" s="130">
        <f t="shared" si="0"/>
        <v>0</v>
      </c>
      <c r="F5" s="131" t="str">
        <f t="shared" si="1"/>
        <v xml:space="preserve"> </v>
      </c>
    </row>
    <row r="6" spans="1:6">
      <c r="A6" s="23" t="s">
        <v>74</v>
      </c>
      <c r="B6" s="17">
        <f>SUM(B7:B15)</f>
        <v>11050</v>
      </c>
      <c r="C6" s="17">
        <f>SUM(C7:C15)</f>
        <v>300</v>
      </c>
      <c r="D6" s="136">
        <f t="shared" si="2"/>
        <v>10750</v>
      </c>
      <c r="E6" s="130">
        <f t="shared" si="0"/>
        <v>2.7149321266968326E-2</v>
      </c>
      <c r="F6" s="131" t="str">
        <f t="shared" si="1"/>
        <v xml:space="preserve"> </v>
      </c>
    </row>
    <row r="7" spans="1:6">
      <c r="A7" s="18" t="s">
        <v>75</v>
      </c>
      <c r="B7" s="19">
        <v>3000</v>
      </c>
      <c r="C7" s="138">
        <f>SUMIF('Belegliste Budgetcontrolling2'!A:A,A7,'Belegliste Budgetcontrolling2'!F:F)</f>
        <v>0</v>
      </c>
      <c r="D7" s="135">
        <f t="shared" si="2"/>
        <v>3000</v>
      </c>
      <c r="E7" s="130">
        <f t="shared" si="0"/>
        <v>0</v>
      </c>
      <c r="F7" s="131" t="str">
        <f t="shared" si="1"/>
        <v xml:space="preserve"> </v>
      </c>
    </row>
    <row r="8" spans="1:6">
      <c r="A8" s="18" t="s">
        <v>76</v>
      </c>
      <c r="B8" s="19">
        <v>800</v>
      </c>
      <c r="C8" s="138">
        <f>SUMIF('Belegliste Budgetcontrolling2'!A:A,A8,'Belegliste Budgetcontrolling2'!F:F)</f>
        <v>300</v>
      </c>
      <c r="D8" s="135">
        <f t="shared" si="2"/>
        <v>500</v>
      </c>
      <c r="E8" s="130">
        <f t="shared" si="0"/>
        <v>0.375</v>
      </c>
      <c r="F8" s="131" t="str">
        <f t="shared" si="1"/>
        <v xml:space="preserve"> </v>
      </c>
    </row>
    <row r="9" spans="1:6">
      <c r="A9" s="18" t="s">
        <v>77</v>
      </c>
      <c r="B9" s="19">
        <v>300</v>
      </c>
      <c r="C9" s="138">
        <f>SUMIF('Belegliste Budgetcontrolling2'!A:A,A9,'Belegliste Budgetcontrolling2'!F:F)</f>
        <v>0</v>
      </c>
      <c r="D9" s="135">
        <f t="shared" si="2"/>
        <v>300</v>
      </c>
      <c r="E9" s="130">
        <f t="shared" si="0"/>
        <v>0</v>
      </c>
      <c r="F9" s="131" t="str">
        <f t="shared" si="1"/>
        <v xml:space="preserve"> </v>
      </c>
    </row>
    <row r="10" spans="1:6">
      <c r="A10" s="22" t="s">
        <v>78</v>
      </c>
      <c r="B10" s="19">
        <v>1650</v>
      </c>
      <c r="C10" s="138">
        <f>SUMIF('Belegliste Budgetcontrolling2'!A:A,A10,'Belegliste Budgetcontrolling2'!F:F)</f>
        <v>0</v>
      </c>
      <c r="D10" s="135">
        <f t="shared" si="2"/>
        <v>1650</v>
      </c>
      <c r="E10" s="130">
        <f t="shared" si="0"/>
        <v>0</v>
      </c>
      <c r="F10" s="131" t="str">
        <f t="shared" si="1"/>
        <v xml:space="preserve"> </v>
      </c>
    </row>
    <row r="11" spans="1:6">
      <c r="A11" s="22" t="s">
        <v>79</v>
      </c>
      <c r="B11" s="19">
        <v>1000</v>
      </c>
      <c r="C11" s="138">
        <f>SUMIF('Belegliste Budgetcontrolling2'!A:A,A11,'Belegliste Budgetcontrolling2'!F:F)</f>
        <v>0</v>
      </c>
      <c r="D11" s="135">
        <f t="shared" si="2"/>
        <v>1000</v>
      </c>
      <c r="E11" s="130">
        <f t="shared" si="0"/>
        <v>0</v>
      </c>
      <c r="F11" s="131" t="str">
        <f t="shared" si="1"/>
        <v xml:space="preserve"> </v>
      </c>
    </row>
    <row r="12" spans="1:6">
      <c r="A12" s="22" t="s">
        <v>80</v>
      </c>
      <c r="B12" s="19">
        <v>100</v>
      </c>
      <c r="C12" s="138">
        <f>SUMIF('Belegliste Budgetcontrolling2'!A:A,A12,'Belegliste Budgetcontrolling2'!F:F)</f>
        <v>0</v>
      </c>
      <c r="D12" s="135">
        <f t="shared" si="2"/>
        <v>100</v>
      </c>
      <c r="E12" s="130">
        <f t="shared" si="0"/>
        <v>0</v>
      </c>
      <c r="F12" s="131" t="str">
        <f t="shared" si="1"/>
        <v xml:space="preserve"> </v>
      </c>
    </row>
    <row r="13" spans="1:6" ht="30">
      <c r="A13" s="18" t="s">
        <v>81</v>
      </c>
      <c r="B13" s="19">
        <v>1500</v>
      </c>
      <c r="C13" s="138">
        <f>SUMIF('Belegliste Budgetcontrolling2'!A:A,A13,'Belegliste Budgetcontrolling2'!F:F)</f>
        <v>0</v>
      </c>
      <c r="D13" s="135">
        <f t="shared" si="2"/>
        <v>1500</v>
      </c>
      <c r="E13" s="130">
        <f t="shared" si="0"/>
        <v>0</v>
      </c>
      <c r="F13" s="131" t="str">
        <f t="shared" si="1"/>
        <v xml:space="preserve"> </v>
      </c>
    </row>
    <row r="14" spans="1:6">
      <c r="A14" s="18" t="s">
        <v>82</v>
      </c>
      <c r="B14" s="19">
        <v>1000</v>
      </c>
      <c r="C14" s="138">
        <f>SUMIF('Belegliste Budgetcontrolling2'!A:A,A14,'Belegliste Budgetcontrolling2'!F:F)</f>
        <v>0</v>
      </c>
      <c r="D14" s="135">
        <f t="shared" si="2"/>
        <v>1000</v>
      </c>
      <c r="E14" s="130">
        <f t="shared" si="0"/>
        <v>0</v>
      </c>
      <c r="F14" s="131" t="str">
        <f t="shared" si="1"/>
        <v xml:space="preserve"> </v>
      </c>
    </row>
    <row r="15" spans="1:6">
      <c r="A15" s="22" t="s">
        <v>83</v>
      </c>
      <c r="B15" s="21">
        <f>ROUND((SUM(B3,B7:B14)*5%),-1)</f>
        <v>1700</v>
      </c>
      <c r="C15" s="138">
        <f>SUMIF('Belegliste Budgetcontrolling2'!A:A,A15,'Belegliste Budgetcontrolling2'!F:F)</f>
        <v>0</v>
      </c>
      <c r="D15" s="135">
        <f t="shared" si="2"/>
        <v>1700</v>
      </c>
      <c r="E15" s="130">
        <f t="shared" si="0"/>
        <v>0</v>
      </c>
      <c r="F15" s="131" t="str">
        <f t="shared" si="1"/>
        <v xml:space="preserve"> </v>
      </c>
    </row>
    <row r="16" spans="1:6">
      <c r="A16" s="23" t="s">
        <v>84</v>
      </c>
      <c r="B16" s="24">
        <f>B3+B6</f>
        <v>35712.809551059996</v>
      </c>
      <c r="C16" s="24">
        <f>C3+C6</f>
        <v>300</v>
      </c>
      <c r="D16" s="136">
        <f t="shared" si="2"/>
        <v>35412.809551059996</v>
      </c>
      <c r="E16" s="140">
        <f t="shared" si="0"/>
        <v>8.4003472079416854E-3</v>
      </c>
      <c r="F16" s="131" t="str">
        <f t="shared" si="1"/>
        <v xml:space="preserve"> </v>
      </c>
    </row>
    <row r="17" spans="1:6">
      <c r="A17" s="23"/>
      <c r="B17" s="24"/>
      <c r="C17" s="110"/>
      <c r="D17" s="110"/>
      <c r="E17" s="110"/>
      <c r="F17" s="131"/>
    </row>
    <row r="18" spans="1:6">
      <c r="A18" s="182" t="s">
        <v>85</v>
      </c>
      <c r="B18" s="183"/>
      <c r="C18" s="183"/>
      <c r="D18" s="183"/>
      <c r="E18" s="184"/>
    </row>
    <row r="19" spans="1:6" s="108" customFormat="1">
      <c r="A19" s="15" t="s">
        <v>70</v>
      </c>
      <c r="B19" s="137" t="s">
        <v>284</v>
      </c>
      <c r="C19" s="137" t="s">
        <v>296</v>
      </c>
      <c r="D19" s="15" t="s">
        <v>147</v>
      </c>
      <c r="E19" s="15" t="s">
        <v>148</v>
      </c>
    </row>
    <row r="20" spans="1:6">
      <c r="A20" s="28" t="s">
        <v>87</v>
      </c>
      <c r="B20" s="29">
        <v>28570</v>
      </c>
      <c r="C20" s="139">
        <f>SUMIF('Belegliste Budgetcontrolling2'!A:A,A20,'Belegliste Budgetcontrolling2'!E:E)</f>
        <v>4000</v>
      </c>
      <c r="D20" s="135">
        <f t="shared" ref="D20:D23" si="3">B20-C20</f>
        <v>24570</v>
      </c>
      <c r="E20" s="130">
        <f t="shared" ref="E20:E23" si="4">C20/B20</f>
        <v>0.14000700035001751</v>
      </c>
    </row>
    <row r="21" spans="1:6">
      <c r="A21" s="30" t="s">
        <v>88</v>
      </c>
      <c r="B21" s="29">
        <v>5000</v>
      </c>
      <c r="C21" s="139">
        <f ca="1">SUMIF(Budgetcontrolling!A:E,Budgetcontrolling!A21,'Belegliste Budgetcontrolling2'!E:E)</f>
        <v>0</v>
      </c>
      <c r="D21" s="135">
        <f t="shared" ca="1" si="3"/>
        <v>5000</v>
      </c>
      <c r="E21" s="130">
        <f t="shared" ca="1" si="4"/>
        <v>0</v>
      </c>
    </row>
    <row r="22" spans="1:6">
      <c r="A22" s="30" t="s">
        <v>89</v>
      </c>
      <c r="B22" s="29">
        <v>2142.809551059996</v>
      </c>
      <c r="C22" s="139">
        <f ca="1">SUMIF(Budgetcontrolling!A:E,Budgetcontrolling!A22,'Belegliste Budgetcontrolling2'!E:E)</f>
        <v>0</v>
      </c>
      <c r="D22" s="135">
        <f t="shared" ca="1" si="3"/>
        <v>2142.809551059996</v>
      </c>
      <c r="E22" s="130">
        <f t="shared" ca="1" si="4"/>
        <v>0</v>
      </c>
    </row>
    <row r="23" spans="1:6">
      <c r="A23" s="23" t="s">
        <v>84</v>
      </c>
      <c r="B23" s="27">
        <f>SUM(B20:B22)</f>
        <v>35712.809551059996</v>
      </c>
      <c r="C23" s="27">
        <f ca="1">SUM(C20:C22)</f>
        <v>4000</v>
      </c>
      <c r="D23" s="136">
        <f t="shared" ca="1" si="3"/>
        <v>31712.809551059996</v>
      </c>
      <c r="E23" s="140">
        <f t="shared" ca="1" si="4"/>
        <v>0.11200462943922247</v>
      </c>
    </row>
    <row r="25" spans="1:6">
      <c r="C25" s="185" t="s">
        <v>286</v>
      </c>
      <c r="D25" s="185"/>
      <c r="E25" s="185"/>
    </row>
    <row r="26" spans="1:6">
      <c r="A26" s="91" t="s">
        <v>150</v>
      </c>
      <c r="B26" s="92" t="s">
        <v>287</v>
      </c>
      <c r="C26" s="92" t="s">
        <v>288</v>
      </c>
      <c r="D26" s="92" t="s">
        <v>289</v>
      </c>
      <c r="E26" s="92"/>
    </row>
    <row r="27" spans="1:6">
      <c r="A27" s="141" t="s">
        <v>87</v>
      </c>
      <c r="B27" s="29">
        <v>28570</v>
      </c>
      <c r="C27" s="142">
        <f>B27/$B$23</f>
        <v>0.79999306576964657</v>
      </c>
      <c r="D27" s="143">
        <f>$C$16*C27</f>
        <v>239.99791973089398</v>
      </c>
      <c r="E27" s="144"/>
    </row>
    <row r="28" spans="1:6">
      <c r="A28" s="141" t="s">
        <v>88</v>
      </c>
      <c r="B28" s="29">
        <v>5000</v>
      </c>
      <c r="C28" s="142">
        <f t="shared" ref="C28:C29" si="5">B28/$B$23</f>
        <v>0.14000578679902809</v>
      </c>
      <c r="D28" s="143">
        <f t="shared" ref="D28:D29" si="6">$C$16*C28</f>
        <v>42.001736039708426</v>
      </c>
      <c r="E28" s="144"/>
    </row>
    <row r="29" spans="1:6">
      <c r="A29" s="141" t="s">
        <v>89</v>
      </c>
      <c r="B29" s="29">
        <v>2142.809551059996</v>
      </c>
      <c r="C29" s="142">
        <f t="shared" si="5"/>
        <v>6.0001147431325383E-2</v>
      </c>
      <c r="D29" s="143">
        <f t="shared" si="6"/>
        <v>18.000344229397616</v>
      </c>
      <c r="E29" s="144"/>
    </row>
    <row r="30" spans="1:6" s="148" customFormat="1">
      <c r="A30" s="145" t="s">
        <v>151</v>
      </c>
      <c r="B30" s="146">
        <f>SUM(B27:B28)</f>
        <v>33570</v>
      </c>
      <c r="C30" s="149">
        <f>SUM(C27:C29)</f>
        <v>1</v>
      </c>
      <c r="D30" s="150">
        <f>SUM(D27:D29)</f>
        <v>300.00000000000006</v>
      </c>
      <c r="E30" s="147"/>
    </row>
  </sheetData>
  <mergeCells count="3">
    <mergeCell ref="D1:E1"/>
    <mergeCell ref="A18:E18"/>
    <mergeCell ref="C25:E25"/>
  </mergeCells>
  <conditionalFormatting sqref="E3">
    <cfRule type="cellIs" dxfId="2" priority="2" operator="greaterThan">
      <formula>1.2</formula>
    </cfRule>
  </conditionalFormatting>
  <conditionalFormatting sqref="E4:E16">
    <cfRule type="cellIs" dxfId="1" priority="1" operator="greaterThan">
      <formula>1.2</formula>
    </cfRule>
  </conditionalFormatting>
  <pageMargins left="0.78749999999999998" right="0.78749999999999998" top="1.2194444444444399" bottom="1.05277777777778" header="0.78749999999999998" footer="0.78749999999999998"/>
  <pageSetup paperSize="9" scale="87" orientation="portrait" horizontalDpi="300" verticalDpi="300"/>
  <headerFooter>
    <oddHeader>&amp;L&amp;"Times New Roman,Standard"&amp;12&amp;KffffffAdresse Antragsteller</oddHeader>
    <oddFooter>&amp;C&amp;"Times New Roman,Standard"&amp;12&amp;KffffffSeite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E59"/>
  </sheetPr>
  <dimension ref="A1:F15"/>
  <sheetViews>
    <sheetView zoomScaleNormal="100" zoomScalePageLayoutView="120" workbookViewId="0">
      <selection activeCell="I18" sqref="I18"/>
    </sheetView>
  </sheetViews>
  <sheetFormatPr baseColWidth="10" defaultColWidth="11.5703125" defaultRowHeight="15"/>
  <cols>
    <col min="1" max="1" width="23" customWidth="1"/>
    <col min="2" max="3" width="13.28515625" customWidth="1"/>
    <col min="4" max="4" width="44.28515625" customWidth="1"/>
  </cols>
  <sheetData>
    <row r="1" spans="1:6">
      <c r="A1" s="152" t="s">
        <v>70</v>
      </c>
      <c r="B1" s="151" t="s">
        <v>152</v>
      </c>
      <c r="C1" s="93" t="s">
        <v>153</v>
      </c>
      <c r="D1" s="94" t="s">
        <v>154</v>
      </c>
      <c r="E1" s="95" t="s">
        <v>86</v>
      </c>
      <c r="F1" s="96" t="s">
        <v>155</v>
      </c>
    </row>
    <row r="2" spans="1:6" ht="30">
      <c r="A2" s="31" t="s">
        <v>76</v>
      </c>
      <c r="B2" s="98">
        <v>45003</v>
      </c>
      <c r="C2" s="97" t="s">
        <v>156</v>
      </c>
      <c r="D2" s="99" t="s">
        <v>157</v>
      </c>
      <c r="E2" s="100"/>
      <c r="F2" s="100">
        <v>300</v>
      </c>
    </row>
    <row r="3" spans="1:6">
      <c r="A3" s="28" t="s">
        <v>87</v>
      </c>
      <c r="B3" s="98">
        <v>45008</v>
      </c>
      <c r="C3" s="97" t="s">
        <v>158</v>
      </c>
      <c r="D3" s="99" t="s">
        <v>159</v>
      </c>
      <c r="E3" s="100">
        <v>4000</v>
      </c>
      <c r="F3" s="100"/>
    </row>
    <row r="4" spans="1:6">
      <c r="A4" s="102"/>
      <c r="B4" s="98"/>
      <c r="C4" s="97"/>
      <c r="D4" s="99"/>
      <c r="E4" s="100"/>
      <c r="F4" s="100"/>
    </row>
    <row r="5" spans="1:6">
      <c r="A5" s="102"/>
      <c r="B5" s="98"/>
      <c r="C5" s="97"/>
      <c r="D5" s="97"/>
      <c r="E5" s="100"/>
      <c r="F5" s="100"/>
    </row>
    <row r="6" spans="1:6">
      <c r="A6" s="102"/>
      <c r="B6" s="98"/>
      <c r="C6" s="97"/>
      <c r="D6" s="97"/>
      <c r="E6" s="100"/>
      <c r="F6" s="100"/>
    </row>
    <row r="7" spans="1:6">
      <c r="A7" s="101"/>
      <c r="B7" s="98"/>
      <c r="C7" s="97"/>
      <c r="D7" s="97"/>
      <c r="E7" s="100"/>
      <c r="F7" s="100"/>
    </row>
    <row r="8" spans="1:6">
      <c r="A8" s="101"/>
      <c r="B8" s="98"/>
      <c r="C8" s="97"/>
      <c r="D8" s="97"/>
      <c r="E8" s="100"/>
      <c r="F8" s="100"/>
    </row>
    <row r="9" spans="1:6">
      <c r="A9" s="103"/>
      <c r="B9" s="98"/>
      <c r="C9" s="97"/>
      <c r="D9" s="97"/>
      <c r="E9" s="100"/>
      <c r="F9" s="100"/>
    </row>
    <row r="10" spans="1:6">
      <c r="A10" s="102"/>
      <c r="B10" s="98"/>
      <c r="C10" s="97"/>
      <c r="D10" s="97"/>
      <c r="E10" s="100"/>
      <c r="F10" s="100"/>
    </row>
    <row r="11" spans="1:6">
      <c r="A11" s="102"/>
      <c r="B11" s="98"/>
      <c r="C11" s="97"/>
      <c r="D11" s="97"/>
      <c r="E11" s="100"/>
      <c r="F11" s="100"/>
    </row>
    <row r="12" spans="1:6">
      <c r="A12" s="102"/>
      <c r="B12" s="98"/>
      <c r="C12" s="97"/>
      <c r="D12" s="97"/>
      <c r="E12" s="100"/>
      <c r="F12" s="100"/>
    </row>
    <row r="13" spans="1:6">
      <c r="A13" s="102"/>
      <c r="B13" s="98"/>
      <c r="C13" s="97"/>
      <c r="D13" s="97"/>
      <c r="E13" s="100"/>
      <c r="F13" s="100"/>
    </row>
    <row r="14" spans="1:6">
      <c r="A14" s="102"/>
      <c r="B14" s="98"/>
      <c r="C14" s="97"/>
      <c r="D14" s="97"/>
      <c r="E14" s="100"/>
      <c r="F14" s="100"/>
    </row>
    <row r="15" spans="1:6" ht="45">
      <c r="A15" s="104" t="s">
        <v>160</v>
      </c>
      <c r="B15" s="106" t="s">
        <v>161</v>
      </c>
      <c r="C15" s="105"/>
      <c r="D15" s="105" t="s">
        <v>162</v>
      </c>
      <c r="E15" s="105"/>
      <c r="F15" s="105" t="s">
        <v>163</v>
      </c>
    </row>
  </sheetData>
  <conditionalFormatting sqref="B5:C6">
    <cfRule type="cellIs" dxfId="0" priority="2" operator="lessThanOrEqual">
      <formula>0</formula>
    </cfRule>
  </conditionalFormatting>
  <pageMargins left="0.78749999999999998" right="0.78749999999999998" top="1.2194444444444399" bottom="1.05277777777778" header="0.78749999999999998" footer="0.78749999999999998"/>
  <pageSetup paperSize="9" scale="87" orientation="portrait" horizontalDpi="300" verticalDpi="300"/>
  <headerFooter>
    <oddHeader>&amp;L&amp;"Times New Roman,Standard"&amp;12&amp;KffffffAdresse Antragsteller</oddHeader>
    <oddFooter>&amp;C&amp;"Times New Roman,Standard"&amp;12&amp;KffffffSeite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Grundlagen</vt:lpstr>
      <vt:lpstr>Prozentrechnung</vt:lpstr>
      <vt:lpstr>Teilnahmeliste</vt:lpstr>
      <vt:lpstr>Projektkalkulation</vt:lpstr>
      <vt:lpstr>HonKalk</vt:lpstr>
      <vt:lpstr>PK1</vt:lpstr>
      <vt:lpstr>PK2</vt:lpstr>
      <vt:lpstr>Budgetcontrolling</vt:lpstr>
      <vt:lpstr>Belegliste Budgetcontrolling2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Laco</dc:creator>
  <dc:description/>
  <cp:lastModifiedBy>Caro-VW</cp:lastModifiedBy>
  <cp:revision>7</cp:revision>
  <dcterms:created xsi:type="dcterms:W3CDTF">2023-11-12T16:34:48Z</dcterms:created>
  <dcterms:modified xsi:type="dcterms:W3CDTF">2025-04-02T13:34:45Z</dcterms:modified>
  <dc:language>de-DE</dc:language>
</cp:coreProperties>
</file>